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6.xml" ContentType="application/vnd.openxmlformats-officedocument.drawingml.chart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+xml"/>
  <Override PartName="/xl/charts/chart8.xml" ContentType="application/vnd.openxmlformats-officedocument.drawingml.chart+xml"/>
  <Override PartName="/xl/drawings/drawing15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4030"/>
  <fileSharing readOnlyRecommended="1"/>
  <workbookPr date1904="1" showInkAnnotation="0" autoCompressPictures="0"/>
  <bookViews>
    <workbookView xWindow="0" yWindow="0" windowWidth="28720" windowHeight="17560" tabRatio="863"/>
  </bookViews>
  <sheets>
    <sheet name="Title Page" sheetId="20" r:id="rId1"/>
    <sheet name="Graph - Electrical Output Black" sheetId="58" state="hidden" r:id="rId2"/>
    <sheet name="Graph - Electrical Output White" sheetId="59" state="hidden" r:id="rId3"/>
    <sheet name="Graph - Total Capacity Black" sheetId="57" state="hidden" r:id="rId4"/>
    <sheet name="Graph - Total Capacity" sheetId="33" state="hidden" r:id="rId5"/>
    <sheet name="Graph - World Electrical Output" sheetId="34" state="hidden" r:id="rId6"/>
    <sheet name="X-curve" sheetId="61" r:id="rId7"/>
    <sheet name="Capacity (TW)" sheetId="21" r:id="rId8"/>
    <sheet name="Generation (TWh)" sheetId="16" r:id="rId9"/>
    <sheet name="Nuclear" sheetId="27" r:id="rId10"/>
    <sheet name="Nuclear Uprates" sheetId="56" state="hidden" r:id="rId11"/>
    <sheet name="Wind" sheetId="29" r:id="rId12"/>
    <sheet name="PV" sheetId="30" r:id="rId13"/>
    <sheet name="Hydro" sheetId="65" r:id="rId14"/>
    <sheet name="Geothermal" sheetId="66" r:id="rId15"/>
    <sheet name="Biomass" sheetId="18" r:id="rId16"/>
    <sheet name="Cogeneration (CHP)" sheetId="17" r:id="rId17"/>
    <sheet name="DGTW 2010-2013" sheetId="60" r:id="rId18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0" i="16" l="1"/>
  <c r="F21" i="16"/>
  <c r="F22" i="16"/>
  <c r="F23" i="16"/>
  <c r="F24" i="16"/>
  <c r="F25" i="16"/>
  <c r="F26" i="16"/>
  <c r="F27" i="16"/>
  <c r="F28" i="16"/>
  <c r="F29" i="16"/>
  <c r="F30" i="16"/>
  <c r="F31" i="16"/>
  <c r="F32" i="16"/>
  <c r="F19" i="16"/>
  <c r="J20" i="16"/>
  <c r="J21" i="16"/>
  <c r="J22" i="16"/>
  <c r="J23" i="16"/>
  <c r="J24" i="16"/>
  <c r="J25" i="16"/>
  <c r="J26" i="16"/>
  <c r="J27" i="16"/>
  <c r="J28" i="16"/>
  <c r="D21" i="17"/>
  <c r="C21" i="17"/>
  <c r="G21" i="17"/>
  <c r="J21" i="17"/>
  <c r="J29" i="16"/>
  <c r="D22" i="17"/>
  <c r="C22" i="17"/>
  <c r="G22" i="17"/>
  <c r="J22" i="17"/>
  <c r="J30" i="16"/>
  <c r="D23" i="17"/>
  <c r="C23" i="17"/>
  <c r="G23" i="17"/>
  <c r="J23" i="17"/>
  <c r="J31" i="16"/>
  <c r="D24" i="17"/>
  <c r="C24" i="17"/>
  <c r="G24" i="17"/>
  <c r="J24" i="17"/>
  <c r="J32" i="16"/>
  <c r="J19" i="16"/>
  <c r="J20" i="21"/>
  <c r="J21" i="21"/>
  <c r="J22" i="21"/>
  <c r="J23" i="21"/>
  <c r="J24" i="21"/>
  <c r="J25" i="21"/>
  <c r="J26" i="21"/>
  <c r="J27" i="21"/>
  <c r="J28" i="21"/>
  <c r="J29" i="21"/>
  <c r="J30" i="21"/>
  <c r="J31" i="21"/>
  <c r="J32" i="21"/>
  <c r="J19" i="21"/>
  <c r="F20" i="21"/>
  <c r="F21" i="21"/>
  <c r="F22" i="21"/>
  <c r="F23" i="21"/>
  <c r="F24" i="21"/>
  <c r="F25" i="21"/>
  <c r="F26" i="21"/>
  <c r="F27" i="21"/>
  <c r="F28" i="21"/>
  <c r="F29" i="21"/>
  <c r="F30" i="21"/>
  <c r="F31" i="21"/>
  <c r="F32" i="21"/>
  <c r="F19" i="21"/>
  <c r="J12" i="17"/>
  <c r="J13" i="17"/>
  <c r="J14" i="17"/>
  <c r="J15" i="17"/>
  <c r="J16" i="17"/>
  <c r="J17" i="17"/>
  <c r="J18" i="17"/>
  <c r="J19" i="17"/>
  <c r="J20" i="17"/>
  <c r="J11" i="17"/>
  <c r="I11" i="17"/>
  <c r="C16" i="17"/>
  <c r="C15" i="17"/>
  <c r="C14" i="17"/>
  <c r="C13" i="17"/>
  <c r="C12" i="17"/>
  <c r="C11" i="17"/>
  <c r="F14" i="17"/>
  <c r="F13" i="17"/>
  <c r="F12" i="17"/>
  <c r="F11" i="17"/>
  <c r="G11" i="17"/>
  <c r="C10" i="17"/>
  <c r="F10" i="17"/>
  <c r="G10" i="17"/>
  <c r="G12" i="17"/>
  <c r="G13" i="17"/>
  <c r="G14" i="17"/>
  <c r="G15" i="17"/>
  <c r="F16" i="17"/>
  <c r="G16" i="17"/>
  <c r="F17" i="17"/>
  <c r="G17" i="17"/>
  <c r="C18" i="17"/>
  <c r="F18" i="17"/>
  <c r="G18" i="17"/>
  <c r="C19" i="17"/>
  <c r="F19" i="17"/>
  <c r="G19" i="17"/>
  <c r="C20" i="17"/>
  <c r="F20" i="17"/>
  <c r="G20" i="17"/>
  <c r="F21" i="17"/>
  <c r="F22" i="17"/>
  <c r="I23" i="18"/>
  <c r="H12" i="18"/>
  <c r="H13" i="18"/>
  <c r="H14" i="18"/>
  <c r="H15" i="18"/>
  <c r="H16" i="18"/>
  <c r="H17" i="18"/>
  <c r="H18" i="18"/>
  <c r="H19" i="18"/>
  <c r="H20" i="18"/>
  <c r="H21" i="18"/>
  <c r="H22" i="18"/>
  <c r="H23" i="18"/>
  <c r="H11" i="18"/>
  <c r="G11" i="18"/>
  <c r="G12" i="18"/>
  <c r="G13" i="18"/>
  <c r="G14" i="18"/>
  <c r="G15" i="18"/>
  <c r="G16" i="18"/>
  <c r="G17" i="18"/>
  <c r="G18" i="18"/>
  <c r="G19" i="18"/>
  <c r="G20" i="18"/>
  <c r="G21" i="18"/>
  <c r="G22" i="18"/>
  <c r="G23" i="18"/>
  <c r="H10" i="18"/>
  <c r="G10" i="18"/>
  <c r="C23" i="18"/>
  <c r="H20" i="16"/>
  <c r="H21" i="16"/>
  <c r="H22" i="16"/>
  <c r="H23" i="16"/>
  <c r="H24" i="16"/>
  <c r="H25" i="16"/>
  <c r="H26" i="16"/>
  <c r="H27" i="16"/>
  <c r="H28" i="16"/>
  <c r="H29" i="16"/>
  <c r="H30" i="16"/>
  <c r="H31" i="16"/>
  <c r="H32" i="16"/>
  <c r="H19" i="16"/>
  <c r="H20" i="21"/>
  <c r="H21" i="21"/>
  <c r="H22" i="21"/>
  <c r="H23" i="21"/>
  <c r="H24" i="21"/>
  <c r="H25" i="21"/>
  <c r="H26" i="21"/>
  <c r="H27" i="21"/>
  <c r="H28" i="21"/>
  <c r="H29" i="21"/>
  <c r="H30" i="21"/>
  <c r="H31" i="21"/>
  <c r="H32" i="21"/>
  <c r="H19" i="21"/>
  <c r="F19" i="66"/>
  <c r="F18" i="66"/>
  <c r="F17" i="66"/>
  <c r="F16" i="66"/>
  <c r="F15" i="66"/>
  <c r="F14" i="66"/>
  <c r="F13" i="66"/>
  <c r="F12" i="66"/>
  <c r="H12" i="66"/>
  <c r="H13" i="66"/>
  <c r="H14" i="66"/>
  <c r="H15" i="66"/>
  <c r="H16" i="66"/>
  <c r="H17" i="66"/>
  <c r="H18" i="66"/>
  <c r="H19" i="66"/>
  <c r="H20" i="66"/>
  <c r="F21" i="66"/>
  <c r="H21" i="66"/>
  <c r="F22" i="66"/>
  <c r="H22" i="66"/>
  <c r="F23" i="66"/>
  <c r="H23" i="66"/>
  <c r="F11" i="66"/>
  <c r="H11" i="66"/>
  <c r="H10" i="66"/>
  <c r="G23" i="66"/>
  <c r="G22" i="66"/>
  <c r="G21" i="66"/>
  <c r="G20" i="66"/>
  <c r="G19" i="66"/>
  <c r="C18" i="66"/>
  <c r="G18" i="66"/>
  <c r="C17" i="66"/>
  <c r="G17" i="66"/>
  <c r="C16" i="66"/>
  <c r="G16" i="66"/>
  <c r="C15" i="66"/>
  <c r="G15" i="66"/>
  <c r="C14" i="66"/>
  <c r="G14" i="66"/>
  <c r="D11" i="66"/>
  <c r="D12" i="66"/>
  <c r="C13" i="66"/>
  <c r="G13" i="66"/>
  <c r="C12" i="66"/>
  <c r="G12" i="66"/>
  <c r="C11" i="66"/>
  <c r="G11" i="66"/>
  <c r="G10" i="66"/>
  <c r="E20" i="21"/>
  <c r="E21" i="21"/>
  <c r="E22" i="21"/>
  <c r="E23" i="21"/>
  <c r="E24" i="21"/>
  <c r="E25" i="21"/>
  <c r="E26" i="21"/>
  <c r="E27" i="21"/>
  <c r="E28" i="21"/>
  <c r="E29" i="21"/>
  <c r="E30" i="21"/>
  <c r="E31" i="21"/>
  <c r="E32" i="21"/>
  <c r="E19" i="21"/>
  <c r="E20" i="16"/>
  <c r="E21" i="16"/>
  <c r="E22" i="16"/>
  <c r="E23" i="16"/>
  <c r="E24" i="16"/>
  <c r="E25" i="16"/>
  <c r="E26" i="16"/>
  <c r="E27" i="16"/>
  <c r="E28" i="16"/>
  <c r="E29" i="16"/>
  <c r="E30" i="16"/>
  <c r="E31" i="16"/>
  <c r="E32" i="16"/>
  <c r="E19" i="16"/>
  <c r="K32" i="30"/>
  <c r="K33" i="30"/>
  <c r="H21" i="30"/>
  <c r="H22" i="30"/>
  <c r="H23" i="30"/>
  <c r="H24" i="30"/>
  <c r="H25" i="30"/>
  <c r="H26" i="30"/>
  <c r="H27" i="30"/>
  <c r="H28" i="30"/>
  <c r="H29" i="30"/>
  <c r="H30" i="30"/>
  <c r="H31" i="30"/>
  <c r="H32" i="30"/>
  <c r="H33" i="30"/>
  <c r="I10" i="30"/>
  <c r="E10" i="30"/>
  <c r="F10" i="30"/>
  <c r="G10" i="27"/>
  <c r="C33" i="29"/>
  <c r="E24" i="29"/>
  <c r="E25" i="29"/>
  <c r="E26" i="29"/>
  <c r="E27" i="29"/>
  <c r="E28" i="29"/>
  <c r="E29" i="29"/>
  <c r="E30" i="29"/>
  <c r="E31" i="29"/>
  <c r="E32" i="29"/>
  <c r="E33" i="29"/>
  <c r="F33" i="29"/>
  <c r="E22" i="30"/>
  <c r="E21" i="30"/>
  <c r="E20" i="30"/>
  <c r="E19" i="30"/>
  <c r="E18" i="30"/>
  <c r="E17" i="30"/>
  <c r="E16" i="30"/>
  <c r="E15" i="30"/>
  <c r="E14" i="30"/>
  <c r="E13" i="30"/>
  <c r="E12" i="30"/>
  <c r="E11" i="30"/>
  <c r="F11" i="30"/>
  <c r="F12" i="30"/>
  <c r="F13" i="30"/>
  <c r="F14" i="30"/>
  <c r="F15" i="30"/>
  <c r="F16" i="30"/>
  <c r="G16" i="30"/>
  <c r="F17" i="30"/>
  <c r="G17" i="30"/>
  <c r="F18" i="30"/>
  <c r="G18" i="30"/>
  <c r="F19" i="30"/>
  <c r="G19" i="30"/>
  <c r="F20" i="30"/>
  <c r="F21" i="30"/>
  <c r="F22" i="30"/>
  <c r="F23" i="30"/>
  <c r="E24" i="30"/>
  <c r="E25" i="30"/>
  <c r="E26" i="30"/>
  <c r="E27" i="30"/>
  <c r="E28" i="30"/>
  <c r="E29" i="30"/>
  <c r="F31" i="30"/>
  <c r="F31" i="27"/>
  <c r="F25" i="27"/>
  <c r="F24" i="27"/>
  <c r="C11" i="65"/>
  <c r="F11" i="65"/>
  <c r="J11" i="65"/>
  <c r="K11" i="65"/>
  <c r="M20" i="16"/>
  <c r="C12" i="65"/>
  <c r="F12" i="65"/>
  <c r="J12" i="65"/>
  <c r="K12" i="65"/>
  <c r="M21" i="16"/>
  <c r="C13" i="65"/>
  <c r="F13" i="65"/>
  <c r="J13" i="65"/>
  <c r="K13" i="65"/>
  <c r="M22" i="16"/>
  <c r="C14" i="65"/>
  <c r="F14" i="65"/>
  <c r="J14" i="65"/>
  <c r="K14" i="65"/>
  <c r="M23" i="16"/>
  <c r="C15" i="65"/>
  <c r="F15" i="65"/>
  <c r="J15" i="65"/>
  <c r="K15" i="65"/>
  <c r="M24" i="16"/>
  <c r="C16" i="65"/>
  <c r="F16" i="65"/>
  <c r="J16" i="65"/>
  <c r="K16" i="65"/>
  <c r="M25" i="16"/>
  <c r="C17" i="65"/>
  <c r="F17" i="65"/>
  <c r="J17" i="65"/>
  <c r="K17" i="65"/>
  <c r="M26" i="16"/>
  <c r="C18" i="65"/>
  <c r="F18" i="65"/>
  <c r="J18" i="65"/>
  <c r="K18" i="65"/>
  <c r="M27" i="16"/>
  <c r="C19" i="65"/>
  <c r="F19" i="65"/>
  <c r="J19" i="65"/>
  <c r="K19" i="65"/>
  <c r="M28" i="16"/>
  <c r="C20" i="65"/>
  <c r="F20" i="65"/>
  <c r="J20" i="65"/>
  <c r="K20" i="65"/>
  <c r="M29" i="16"/>
  <c r="C21" i="65"/>
  <c r="F21" i="65"/>
  <c r="J21" i="65"/>
  <c r="K21" i="65"/>
  <c r="M30" i="16"/>
  <c r="C22" i="65"/>
  <c r="F22" i="65"/>
  <c r="J22" i="65"/>
  <c r="K22" i="65"/>
  <c r="M31" i="16"/>
  <c r="C23" i="65"/>
  <c r="F23" i="65"/>
  <c r="J23" i="65"/>
  <c r="K23" i="65"/>
  <c r="M32" i="16"/>
  <c r="F10" i="65"/>
  <c r="J10" i="65"/>
  <c r="K10" i="65"/>
  <c r="M19" i="16"/>
  <c r="G19" i="16"/>
  <c r="D32" i="21"/>
  <c r="G32" i="21"/>
  <c r="K32" i="21"/>
  <c r="D32" i="16"/>
  <c r="G32" i="16"/>
  <c r="K32" i="16"/>
  <c r="L32" i="21"/>
  <c r="I24" i="17"/>
  <c r="N75" i="60"/>
  <c r="K87" i="60"/>
  <c r="K86" i="60"/>
  <c r="K85" i="60"/>
  <c r="K84" i="60"/>
  <c r="K83" i="60"/>
  <c r="K82" i="60"/>
  <c r="K81" i="60"/>
  <c r="K80" i="60"/>
  <c r="K79" i="60"/>
  <c r="K78" i="60"/>
  <c r="K77" i="60"/>
  <c r="K76" i="60"/>
  <c r="E84" i="60"/>
  <c r="E81" i="60"/>
  <c r="E80" i="60"/>
  <c r="E76" i="60"/>
  <c r="E79" i="60"/>
  <c r="E78" i="60"/>
  <c r="E77" i="60"/>
  <c r="F76" i="60"/>
  <c r="F77" i="60"/>
  <c r="F78" i="60"/>
  <c r="F79" i="60"/>
  <c r="F80" i="60"/>
  <c r="F81" i="60"/>
  <c r="E82" i="60"/>
  <c r="F82" i="60"/>
  <c r="E83" i="60"/>
  <c r="F83" i="60"/>
  <c r="F84" i="60"/>
  <c r="E85" i="60"/>
  <c r="F85" i="60"/>
  <c r="F89" i="60"/>
  <c r="L76" i="60"/>
  <c r="L77" i="60"/>
  <c r="L78" i="60"/>
  <c r="L79" i="60"/>
  <c r="L80" i="60"/>
  <c r="L81" i="60"/>
  <c r="L82" i="60"/>
  <c r="L83" i="60"/>
  <c r="L84" i="60"/>
  <c r="L85" i="60"/>
  <c r="L86" i="60"/>
  <c r="L87" i="60"/>
  <c r="L89" i="60"/>
  <c r="C91" i="60"/>
  <c r="F30" i="27"/>
  <c r="F33" i="27"/>
  <c r="G31" i="16"/>
  <c r="D31" i="16"/>
  <c r="K31" i="16"/>
  <c r="C31" i="16"/>
  <c r="L31" i="16"/>
  <c r="L32" i="16"/>
  <c r="D21" i="21"/>
  <c r="G21" i="21"/>
  <c r="I21" i="21"/>
  <c r="D20" i="21"/>
  <c r="G20" i="21"/>
  <c r="I20" i="21"/>
  <c r="O21" i="21"/>
  <c r="D22" i="21"/>
  <c r="G22" i="21"/>
  <c r="I22" i="21"/>
  <c r="O22" i="21"/>
  <c r="D23" i="21"/>
  <c r="G23" i="21"/>
  <c r="I23" i="21"/>
  <c r="O23" i="21"/>
  <c r="D24" i="21"/>
  <c r="G24" i="21"/>
  <c r="I24" i="21"/>
  <c r="O24" i="21"/>
  <c r="D25" i="21"/>
  <c r="G25" i="21"/>
  <c r="I25" i="21"/>
  <c r="O25" i="21"/>
  <c r="D26" i="21"/>
  <c r="G26" i="21"/>
  <c r="I26" i="21"/>
  <c r="O26" i="21"/>
  <c r="D27" i="21"/>
  <c r="G27" i="21"/>
  <c r="I27" i="21"/>
  <c r="O27" i="21"/>
  <c r="D28" i="21"/>
  <c r="G28" i="21"/>
  <c r="I28" i="21"/>
  <c r="O28" i="21"/>
  <c r="D29" i="21"/>
  <c r="G29" i="21"/>
  <c r="I29" i="21"/>
  <c r="O29" i="21"/>
  <c r="D30" i="21"/>
  <c r="G30" i="21"/>
  <c r="I30" i="21"/>
  <c r="O30" i="21"/>
  <c r="D31" i="21"/>
  <c r="G31" i="21"/>
  <c r="I31" i="21"/>
  <c r="O31" i="21"/>
  <c r="I32" i="21"/>
  <c r="O32" i="21"/>
  <c r="D19" i="21"/>
  <c r="G19" i="21"/>
  <c r="I19" i="21"/>
  <c r="K31" i="21"/>
  <c r="L31" i="21"/>
  <c r="M33" i="30"/>
  <c r="M10" i="30"/>
  <c r="I11" i="30"/>
  <c r="M11" i="30"/>
  <c r="I12" i="30"/>
  <c r="M12" i="30"/>
  <c r="I13" i="30"/>
  <c r="M13" i="30"/>
  <c r="I14" i="30"/>
  <c r="M14" i="30"/>
  <c r="I15" i="30"/>
  <c r="M15" i="30"/>
  <c r="I16" i="30"/>
  <c r="M16" i="30"/>
  <c r="I17" i="30"/>
  <c r="M17" i="30"/>
  <c r="I18" i="30"/>
  <c r="M18" i="30"/>
  <c r="I19" i="30"/>
  <c r="M19" i="30"/>
  <c r="M20" i="30"/>
  <c r="M21" i="30"/>
  <c r="M22" i="30"/>
  <c r="M23" i="30"/>
  <c r="M24" i="30"/>
  <c r="M25" i="30"/>
  <c r="M26" i="30"/>
  <c r="M27" i="30"/>
  <c r="M28" i="30"/>
  <c r="M29" i="30"/>
  <c r="M30" i="30"/>
  <c r="M31" i="30"/>
  <c r="M32" i="30"/>
  <c r="I10" i="29"/>
  <c r="I11" i="29"/>
  <c r="I12" i="29"/>
  <c r="I13" i="29"/>
  <c r="I14" i="29"/>
  <c r="I15" i="29"/>
  <c r="I17" i="29"/>
  <c r="I18" i="29"/>
  <c r="I19" i="29"/>
  <c r="I20" i="29"/>
  <c r="I21" i="29"/>
  <c r="I22" i="29"/>
  <c r="I23" i="29"/>
  <c r="I24" i="29"/>
  <c r="I25" i="29"/>
  <c r="I26" i="29"/>
  <c r="I27" i="29"/>
  <c r="I28" i="29"/>
  <c r="I29" i="29"/>
  <c r="I30" i="29"/>
  <c r="I31" i="29"/>
  <c r="I32" i="29"/>
  <c r="I33" i="29"/>
  <c r="I16" i="29"/>
  <c r="F23" i="27"/>
  <c r="F22" i="27"/>
  <c r="F21" i="27"/>
  <c r="F20" i="27"/>
  <c r="F19" i="27"/>
  <c r="F18" i="27"/>
  <c r="F17" i="27"/>
  <c r="F16" i="27"/>
  <c r="J15" i="27"/>
  <c r="J16" i="27"/>
  <c r="J17" i="27"/>
  <c r="J18" i="27"/>
  <c r="J19" i="27"/>
  <c r="J20" i="27"/>
  <c r="J21" i="27"/>
  <c r="J22" i="27"/>
  <c r="J23" i="27"/>
  <c r="J24" i="27"/>
  <c r="J25" i="27"/>
  <c r="J26" i="27"/>
  <c r="J27" i="27"/>
  <c r="J28" i="27"/>
  <c r="J29" i="27"/>
  <c r="J30" i="27"/>
  <c r="J31" i="27"/>
  <c r="J32" i="27"/>
  <c r="J33" i="27"/>
  <c r="P32" i="16"/>
  <c r="O32" i="16"/>
  <c r="D30" i="16"/>
  <c r="G30" i="16"/>
  <c r="K30" i="16"/>
  <c r="O30" i="16"/>
  <c r="O31" i="16"/>
  <c r="C20" i="16"/>
  <c r="P20" i="16"/>
  <c r="C21" i="16"/>
  <c r="P21" i="16"/>
  <c r="C22" i="16"/>
  <c r="P22" i="16"/>
  <c r="C23" i="16"/>
  <c r="P23" i="16"/>
  <c r="C24" i="16"/>
  <c r="P24" i="16"/>
  <c r="C25" i="16"/>
  <c r="P25" i="16"/>
  <c r="C26" i="16"/>
  <c r="P26" i="16"/>
  <c r="C27" i="16"/>
  <c r="P27" i="16"/>
  <c r="C28" i="16"/>
  <c r="P28" i="16"/>
  <c r="C29" i="16"/>
  <c r="P29" i="16"/>
  <c r="C30" i="16"/>
  <c r="P30" i="16"/>
  <c r="P31" i="16"/>
  <c r="C19" i="16"/>
  <c r="P19" i="16"/>
  <c r="C28" i="21"/>
  <c r="C29" i="21"/>
  <c r="C30" i="21"/>
  <c r="C31" i="21"/>
  <c r="C32" i="21"/>
  <c r="C27" i="21"/>
  <c r="D11" i="18"/>
  <c r="D10" i="18"/>
  <c r="D13" i="18"/>
  <c r="C13" i="18"/>
  <c r="C14" i="18"/>
  <c r="C15" i="18"/>
  <c r="C16" i="18"/>
  <c r="C17" i="18"/>
  <c r="C18" i="18"/>
  <c r="C19" i="18"/>
  <c r="G10" i="16"/>
  <c r="G11" i="16"/>
  <c r="G12" i="16"/>
  <c r="G13" i="16"/>
  <c r="G14" i="16"/>
  <c r="G15" i="16"/>
  <c r="G16" i="16"/>
  <c r="G17" i="16"/>
  <c r="G18" i="16"/>
  <c r="G20" i="16"/>
  <c r="G21" i="16"/>
  <c r="G22" i="16"/>
  <c r="G23" i="16"/>
  <c r="G24" i="16"/>
  <c r="G25" i="16"/>
  <c r="G26" i="16"/>
  <c r="G27" i="16"/>
  <c r="G28" i="16"/>
  <c r="G29" i="16"/>
  <c r="G9" i="16"/>
  <c r="D10" i="16"/>
  <c r="D11" i="16"/>
  <c r="D12" i="16"/>
  <c r="D13" i="16"/>
  <c r="D14" i="16"/>
  <c r="D15" i="16"/>
  <c r="D16" i="16"/>
  <c r="D17" i="16"/>
  <c r="D18" i="16"/>
  <c r="D19" i="16"/>
  <c r="D20" i="16"/>
  <c r="D21" i="16"/>
  <c r="D22" i="16"/>
  <c r="D23" i="16"/>
  <c r="D24" i="16"/>
  <c r="D25" i="16"/>
  <c r="D26" i="16"/>
  <c r="D27" i="16"/>
  <c r="D28" i="16"/>
  <c r="D29" i="16"/>
  <c r="D9" i="16"/>
  <c r="C10" i="16"/>
  <c r="C11" i="16"/>
  <c r="C12" i="16"/>
  <c r="C13" i="16"/>
  <c r="C14" i="16"/>
  <c r="C15" i="16"/>
  <c r="C16" i="16"/>
  <c r="C17" i="16"/>
  <c r="C18" i="16"/>
  <c r="C9" i="16"/>
  <c r="I23" i="17"/>
  <c r="I21" i="17"/>
  <c r="I22" i="17"/>
  <c r="K64" i="60"/>
  <c r="K63" i="60"/>
  <c r="K62" i="60"/>
  <c r="K61" i="60"/>
  <c r="K60" i="60"/>
  <c r="K59" i="60"/>
  <c r="K58" i="60"/>
  <c r="K57" i="60"/>
  <c r="K56" i="60"/>
  <c r="K55" i="60"/>
  <c r="K54" i="60"/>
  <c r="K53" i="60"/>
  <c r="E62" i="60"/>
  <c r="E61" i="60"/>
  <c r="E60" i="60"/>
  <c r="E59" i="60"/>
  <c r="E58" i="60"/>
  <c r="E57" i="60"/>
  <c r="E56" i="60"/>
  <c r="E55" i="60"/>
  <c r="E54" i="60"/>
  <c r="E53" i="60"/>
  <c r="F53" i="60"/>
  <c r="F54" i="60"/>
  <c r="F55" i="60"/>
  <c r="F56" i="60"/>
  <c r="F57" i="60"/>
  <c r="F58" i="60"/>
  <c r="F59" i="60"/>
  <c r="F60" i="60"/>
  <c r="F61" i="60"/>
  <c r="F62" i="60"/>
  <c r="F66" i="60"/>
  <c r="L53" i="60"/>
  <c r="L54" i="60"/>
  <c r="L55" i="60"/>
  <c r="L56" i="60"/>
  <c r="L57" i="60"/>
  <c r="L58" i="60"/>
  <c r="L59" i="60"/>
  <c r="L60" i="60"/>
  <c r="L61" i="60"/>
  <c r="L62" i="60"/>
  <c r="L63" i="60"/>
  <c r="L64" i="60"/>
  <c r="L66" i="60"/>
  <c r="C68" i="60"/>
  <c r="C45" i="60"/>
  <c r="C22" i="60"/>
  <c r="N6" i="60"/>
  <c r="N29" i="60"/>
  <c r="F32" i="29"/>
  <c r="I31" i="16"/>
  <c r="I32" i="16"/>
  <c r="K37" i="60"/>
  <c r="K38" i="60"/>
  <c r="K39" i="60"/>
  <c r="K40" i="60"/>
  <c r="K41" i="60"/>
  <c r="K36" i="60"/>
  <c r="K35" i="60"/>
  <c r="K34" i="60"/>
  <c r="K33" i="60"/>
  <c r="K32" i="60"/>
  <c r="K31" i="60"/>
  <c r="K30" i="60"/>
  <c r="E37" i="60"/>
  <c r="E36" i="60"/>
  <c r="E35" i="60"/>
  <c r="E34" i="60"/>
  <c r="E33" i="60"/>
  <c r="E32" i="60"/>
  <c r="E31" i="60"/>
  <c r="E30" i="60"/>
  <c r="F30" i="60"/>
  <c r="F31" i="60"/>
  <c r="F32" i="60"/>
  <c r="F33" i="60"/>
  <c r="F34" i="60"/>
  <c r="F35" i="60"/>
  <c r="F36" i="60"/>
  <c r="F37" i="60"/>
  <c r="F38" i="60"/>
  <c r="E39" i="60"/>
  <c r="F39" i="60"/>
  <c r="F43" i="60"/>
  <c r="L30" i="60"/>
  <c r="L31" i="60"/>
  <c r="L32" i="60"/>
  <c r="L33" i="60"/>
  <c r="L34" i="60"/>
  <c r="L35" i="60"/>
  <c r="L36" i="60"/>
  <c r="L37" i="60"/>
  <c r="L38" i="60"/>
  <c r="L39" i="60"/>
  <c r="L40" i="60"/>
  <c r="L41" i="60"/>
  <c r="L43" i="60"/>
  <c r="F8" i="60"/>
  <c r="F9" i="60"/>
  <c r="F10" i="60"/>
  <c r="F11" i="60"/>
  <c r="F12" i="60"/>
  <c r="F13" i="60"/>
  <c r="F14" i="60"/>
  <c r="F15" i="60"/>
  <c r="F16" i="60"/>
  <c r="F20" i="60"/>
  <c r="E8" i="60"/>
  <c r="E9" i="60"/>
  <c r="E10" i="60"/>
  <c r="E11" i="60"/>
  <c r="E12" i="60"/>
  <c r="E13" i="60"/>
  <c r="E14" i="60"/>
  <c r="E15" i="60"/>
  <c r="E16" i="60"/>
  <c r="E7" i="60"/>
  <c r="F7" i="60"/>
  <c r="K7" i="60"/>
  <c r="L7" i="60"/>
  <c r="K8" i="60"/>
  <c r="L8" i="60"/>
  <c r="K9" i="60"/>
  <c r="L9" i="60"/>
  <c r="K10" i="60"/>
  <c r="L10" i="60"/>
  <c r="K11" i="60"/>
  <c r="L11" i="60"/>
  <c r="K12" i="60"/>
  <c r="L12" i="60"/>
  <c r="K13" i="60"/>
  <c r="L13" i="60"/>
  <c r="K14" i="60"/>
  <c r="L14" i="60"/>
  <c r="K15" i="60"/>
  <c r="L15" i="60"/>
  <c r="K16" i="60"/>
  <c r="L16" i="60"/>
  <c r="K17" i="60"/>
  <c r="L17" i="60"/>
  <c r="K18" i="60"/>
  <c r="L18" i="60"/>
  <c r="L20" i="60"/>
  <c r="F29" i="27"/>
  <c r="K31" i="30"/>
  <c r="F31" i="29"/>
  <c r="K30" i="30"/>
  <c r="F30" i="29"/>
  <c r="K29" i="16"/>
  <c r="K29" i="21"/>
  <c r="L29" i="21"/>
  <c r="K30" i="21"/>
  <c r="L30" i="21"/>
  <c r="O29" i="16"/>
  <c r="K4" i="56"/>
  <c r="K5" i="56"/>
  <c r="E22" i="29"/>
  <c r="E21" i="29"/>
  <c r="E20" i="29"/>
  <c r="F20" i="29"/>
  <c r="H20" i="30"/>
  <c r="K20" i="30"/>
  <c r="I19" i="16"/>
  <c r="C21" i="29"/>
  <c r="F21" i="29"/>
  <c r="K21" i="30"/>
  <c r="I20" i="16"/>
  <c r="F22" i="29"/>
  <c r="K22" i="30"/>
  <c r="I21" i="16"/>
  <c r="F23" i="29"/>
  <c r="K23" i="30"/>
  <c r="I22" i="16"/>
  <c r="F24" i="29"/>
  <c r="K24" i="30"/>
  <c r="I23" i="16"/>
  <c r="F25" i="29"/>
  <c r="J25" i="30"/>
  <c r="K25" i="30"/>
  <c r="I24" i="16"/>
  <c r="F26" i="29"/>
  <c r="J26" i="30"/>
  <c r="K26" i="30"/>
  <c r="I25" i="16"/>
  <c r="F27" i="29"/>
  <c r="J27" i="30"/>
  <c r="K27" i="30"/>
  <c r="I26" i="16"/>
  <c r="F28" i="29"/>
  <c r="K28" i="30"/>
  <c r="I27" i="16"/>
  <c r="F29" i="29"/>
  <c r="K29" i="30"/>
  <c r="I28" i="16"/>
  <c r="I29" i="16"/>
  <c r="K6" i="56"/>
  <c r="K7" i="56"/>
  <c r="K8" i="56"/>
  <c r="K9" i="56"/>
  <c r="K3" i="56"/>
  <c r="L29" i="16"/>
  <c r="F15" i="27"/>
  <c r="G14" i="27"/>
  <c r="F14" i="27"/>
  <c r="G13" i="27"/>
  <c r="F13" i="27"/>
  <c r="G12" i="27"/>
  <c r="F12" i="27"/>
  <c r="G11" i="27"/>
  <c r="F11" i="27"/>
  <c r="F10" i="27"/>
  <c r="I20" i="17"/>
  <c r="I19" i="17"/>
  <c r="I18" i="17"/>
  <c r="I17" i="17"/>
  <c r="I16" i="17"/>
  <c r="I15" i="17"/>
  <c r="I14" i="17"/>
  <c r="I13" i="17"/>
  <c r="I12" i="17"/>
  <c r="F28" i="27"/>
  <c r="F27" i="27"/>
  <c r="F26" i="27"/>
  <c r="H19" i="30"/>
  <c r="K19" i="30"/>
  <c r="H18" i="30"/>
  <c r="K18" i="30"/>
  <c r="H17" i="30"/>
  <c r="K17" i="30"/>
  <c r="H16" i="30"/>
  <c r="K16" i="30"/>
  <c r="H15" i="30"/>
  <c r="K15" i="30"/>
  <c r="H14" i="30"/>
  <c r="K14" i="30"/>
  <c r="H13" i="30"/>
  <c r="K13" i="30"/>
  <c r="H12" i="30"/>
  <c r="K12" i="30"/>
  <c r="H11" i="30"/>
  <c r="K11" i="30"/>
  <c r="H10" i="30"/>
  <c r="K10" i="30"/>
  <c r="K28" i="21"/>
  <c r="K27" i="21"/>
  <c r="K26" i="21"/>
  <c r="C26" i="21"/>
  <c r="K25" i="21"/>
  <c r="C25" i="21"/>
  <c r="K24" i="21"/>
  <c r="C24" i="21"/>
  <c r="K23" i="21"/>
  <c r="C23" i="21"/>
  <c r="K22" i="21"/>
  <c r="C22" i="21"/>
  <c r="K21" i="21"/>
  <c r="C21" i="21"/>
  <c r="K20" i="21"/>
  <c r="C20" i="21"/>
  <c r="K19" i="21"/>
  <c r="C19" i="21"/>
  <c r="G18" i="21"/>
  <c r="D18" i="21"/>
  <c r="C18" i="21"/>
  <c r="G17" i="21"/>
  <c r="D17" i="21"/>
  <c r="C17" i="21"/>
  <c r="G16" i="21"/>
  <c r="D16" i="21"/>
  <c r="C16" i="21"/>
  <c r="G15" i="21"/>
  <c r="D15" i="21"/>
  <c r="C15" i="21"/>
  <c r="G14" i="21"/>
  <c r="D14" i="21"/>
  <c r="C14" i="21"/>
  <c r="G13" i="21"/>
  <c r="D13" i="21"/>
  <c r="C13" i="21"/>
  <c r="G12" i="21"/>
  <c r="D12" i="21"/>
  <c r="C12" i="21"/>
  <c r="G11" i="21"/>
  <c r="D11" i="21"/>
  <c r="C11" i="21"/>
  <c r="G10" i="21"/>
  <c r="D10" i="21"/>
  <c r="C10" i="21"/>
  <c r="G9" i="21"/>
  <c r="D9" i="21"/>
  <c r="C9" i="21"/>
  <c r="K28" i="16"/>
  <c r="L28" i="21"/>
  <c r="K23" i="16"/>
  <c r="L23" i="21"/>
  <c r="K24" i="16"/>
  <c r="L24" i="21"/>
  <c r="K25" i="16"/>
  <c r="L25" i="21"/>
  <c r="K26" i="16"/>
  <c r="L26" i="21"/>
  <c r="K27" i="16"/>
  <c r="L27" i="21"/>
  <c r="K19" i="16"/>
  <c r="L19" i="21"/>
  <c r="K20" i="16"/>
  <c r="L20" i="21"/>
  <c r="K21" i="16"/>
  <c r="L21" i="21"/>
  <c r="K22" i="16"/>
  <c r="L22" i="21"/>
  <c r="O28" i="16"/>
  <c r="L28" i="16"/>
  <c r="O27" i="16"/>
  <c r="L27" i="16"/>
  <c r="O26" i="16"/>
  <c r="L26" i="16"/>
  <c r="O25" i="16"/>
  <c r="L25" i="16"/>
  <c r="O24" i="16"/>
  <c r="L24" i="16"/>
  <c r="O23" i="16"/>
  <c r="L23" i="16"/>
  <c r="O22" i="16"/>
  <c r="L22" i="16"/>
  <c r="O21" i="16"/>
  <c r="L21" i="16"/>
  <c r="O20" i="16"/>
  <c r="L20" i="16"/>
  <c r="O19" i="16"/>
  <c r="L19" i="16"/>
  <c r="E19" i="29"/>
  <c r="F19" i="29"/>
  <c r="E18" i="29"/>
  <c r="F18" i="29"/>
  <c r="E17" i="29"/>
  <c r="F17" i="29"/>
  <c r="E16" i="29"/>
  <c r="F16" i="29"/>
  <c r="C15" i="29"/>
  <c r="E15" i="29"/>
  <c r="F15" i="29"/>
  <c r="C14" i="29"/>
  <c r="E14" i="29"/>
  <c r="F14" i="29"/>
  <c r="C13" i="29"/>
  <c r="E13" i="29"/>
  <c r="F13" i="29"/>
  <c r="C12" i="29"/>
  <c r="E12" i="29"/>
  <c r="F12" i="29"/>
  <c r="C11" i="29"/>
  <c r="E11" i="29"/>
  <c r="F11" i="29"/>
  <c r="E10" i="29"/>
  <c r="F10" i="29"/>
  <c r="I30" i="16"/>
  <c r="L30" i="16"/>
</calcChain>
</file>

<file path=xl/comments1.xml><?xml version="1.0" encoding="utf-8"?>
<comments xmlns="http://schemas.openxmlformats.org/spreadsheetml/2006/main">
  <authors>
    <author>Sarah Bahan</author>
  </authors>
  <commentList>
    <comment ref="D23" authorId="0">
      <text>
        <r>
          <rPr>
            <b/>
            <sz val="9"/>
            <color indexed="81"/>
            <rFont val="Verdana"/>
            <family val="2"/>
          </rPr>
          <t>Sarah Bahan:</t>
        </r>
        <r>
          <rPr>
            <sz val="9"/>
            <color indexed="81"/>
            <rFont val="Verdan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<sst xmlns="http://schemas.openxmlformats.org/spreadsheetml/2006/main" count="529" uniqueCount="257">
  <si>
    <t>Solarbuzz, 2004 World PV Report Highlights</t>
  </si>
  <si>
    <t>http://www.solarbuzz.com/Marketbuzz2005-intro.htm</t>
  </si>
  <si>
    <t xml:space="preserve">EPIA Photovoltaic Barometer, April 2005 </t>
    <phoneticPr fontId="7"/>
  </si>
  <si>
    <t xml:space="preserve">Worldwatch Vital Signs 2005.  </t>
  </si>
  <si>
    <t>http://www.epia.org/03DataFigures/barometer/Barometer_2005_PV_EN.pdf</t>
  </si>
  <si>
    <t>Non-Biomass</t>
  </si>
  <si>
    <t>http://www.ewea.org/documents/factsheet_industry2.pdf</t>
  </si>
  <si>
    <t>Historical</t>
    <phoneticPr fontId="7" type="noConversion"/>
  </si>
  <si>
    <t>IEA, Combined Heat and Power: Evaluating the Benefits of Greater Global Investment</t>
    <phoneticPr fontId="7" type="noConversion"/>
  </si>
  <si>
    <t>http://www.localpower.org/documents/reporto_iea_chpwademodel.pdf</t>
  </si>
  <si>
    <t>Solarbuzz, 2009 World PV Industry Report Summary</t>
    <phoneticPr fontId="7"/>
  </si>
  <si>
    <t>Net new</t>
  </si>
  <si>
    <t>Geothermal</t>
  </si>
  <si>
    <t xml:space="preserve">Worldwatch Vital Signs 2000.  </t>
    <phoneticPr fontId="7"/>
  </si>
  <si>
    <t>P 59</t>
    <phoneticPr fontId="7"/>
  </si>
  <si>
    <t>BP Statistical Review of World Energy (June 2010)</t>
    <phoneticPr fontId="7" type="noConversion"/>
  </si>
  <si>
    <t>ALL OTHER DATA TAKEN FROM "SOURCE DATA" SPREADHEETS IN THIS WORKBOOK</t>
    <phoneticPr fontId="7" type="noConversion"/>
  </si>
  <si>
    <t>Note: for 2009 we include the 12GW of Municipal Solid Waste included in 2009</t>
    <phoneticPr fontId="7"/>
  </si>
  <si>
    <t>Capacity</t>
    <phoneticPr fontId="7"/>
  </si>
  <si>
    <t>Nuclear Energy Institute, U.S. Nuclear Expected Uprates</t>
    <phoneticPr fontId="7" type="noConversion"/>
  </si>
  <si>
    <t>http://www.nei.org/resourcesandstats/documentlibrary/reliableandaffordableenergy/graphicsandcharts/usnuclearexpectedpoweruprates/</t>
  </si>
  <si>
    <t>Outlook:</t>
    <phoneticPr fontId="7" type="noConversion"/>
  </si>
  <si>
    <t>http://www.world-nuclear.com/info/inf84.html</t>
  </si>
  <si>
    <t>http://www.solarbuzz.com/Marketbuzz2007-intro.htm</t>
  </si>
  <si>
    <t>Solarbuzz, 2006 World PV Industry Report Highlights</t>
  </si>
  <si>
    <t>http://www.solarbuzz.com/FastFactsIndustry.htm</t>
  </si>
  <si>
    <t>SOURCE DATA</t>
  </si>
  <si>
    <t>http://www.localpower.org/pages/wadereports.htm</t>
  </si>
  <si>
    <t>Connections</t>
  </si>
  <si>
    <t>New</t>
  </si>
  <si>
    <t>Capacity Factor</t>
    <phoneticPr fontId="7"/>
  </si>
  <si>
    <t>Outlook:</t>
  </si>
  <si>
    <t>GEOTHERMAL</t>
  </si>
  <si>
    <t>Small Hydro</t>
  </si>
  <si>
    <t>Energy Information Administration, International Energy Annual 2006.  Table 2.7</t>
    <phoneticPr fontId="7"/>
  </si>
  <si>
    <t>IEA 2004 World Energy Outlook, page 432</t>
    <phoneticPr fontId="7"/>
  </si>
  <si>
    <t>Global Wind Energy Council (GWEC)</t>
  </si>
  <si>
    <t>IGA workshops and congresses.</t>
  </si>
  <si>
    <t>Capacity Factor of 24% in 2003, estimate of 28% in 2012</t>
  </si>
  <si>
    <t xml:space="preserve">IEA 2005 World Energy Outlook, page 432 </t>
  </si>
  <si>
    <t xml:space="preserve">Nuclear </t>
  </si>
  <si>
    <t>Capacity Factor:</t>
  </si>
  <si>
    <t>Biomass</t>
  </si>
  <si>
    <t>Capacity</t>
  </si>
  <si>
    <t>http://www.ewea.org/fileadmin/ewea_documents/documents/publications/WF12/WF12-2004_eng.pdf</t>
  </si>
  <si>
    <t>Approximate Megawatts Electric (US)</t>
    <phoneticPr fontId="7" type="noConversion"/>
  </si>
  <si>
    <t xml:space="preserve">Year  </t>
    <phoneticPr fontId="7" type="noConversion"/>
  </si>
  <si>
    <t>Capacity Factor:</t>
    <phoneticPr fontId="7"/>
  </si>
  <si>
    <t>Mark Jacobson and Mark Delucchi, Evaluating the Feasability of Meeting all Global Energy Needs with Wind, Water, and Solar Power</t>
    <phoneticPr fontId="7"/>
  </si>
  <si>
    <t>http://www.stanford.edu/group/efmh/jacobson/PDF%20files/JDEnPolicy24Jan2010.pdf</t>
  </si>
  <si>
    <t>State of Renewable Energy in America, Lisa Frantzis, 2003</t>
  </si>
  <si>
    <t>Cogeneration</t>
    <phoneticPr fontId="7" type="noConversion"/>
  </si>
  <si>
    <t>http://www.worldwatch.org/pubs/vs/2005/</t>
  </si>
  <si>
    <t xml:space="preserve">International Geothermal Association, conference papers presented at various </t>
  </si>
  <si>
    <t>Note: Data in bold from respective sources, other data extrapolated</t>
  </si>
  <si>
    <t>http://www.solarbuzz.com/Marketbuzz2009-intro.htm</t>
  </si>
  <si>
    <t xml:space="preserve">Capacity </t>
  </si>
  <si>
    <t>Rocky Mountain Institute</t>
  </si>
  <si>
    <t>The Possible Role and Contribution of Geothermal Energy to the Mitigation of Climate Change</t>
    <phoneticPr fontId="7"/>
  </si>
  <si>
    <t>Approximate Megawatts Electric (Mexico)</t>
    <phoneticPr fontId="7" type="noConversion"/>
  </si>
  <si>
    <t>Approximate Megawatts Electric (Sweden)</t>
    <phoneticPr fontId="7" type="noConversion"/>
  </si>
  <si>
    <t>Approximate Megawatts Electric (Russia)</t>
    <phoneticPr fontId="7" type="noConversion"/>
  </si>
  <si>
    <t>Approximate Megawatts Electric (Spain)</t>
    <phoneticPr fontId="7" type="noConversion"/>
  </si>
  <si>
    <t>Total</t>
    <phoneticPr fontId="7" type="noConversion"/>
  </si>
  <si>
    <t>Solarbuzz, Fast Solar Energy Facts</t>
  </si>
  <si>
    <t>Source Data</t>
  </si>
  <si>
    <t>BIOMASS</t>
  </si>
  <si>
    <t>Cited in: BP Statistical Review of World Energy 2009</t>
  </si>
  <si>
    <t xml:space="preserve">TOTAL </t>
  </si>
  <si>
    <t>Presented to the International Panel on Climate Change, Feb 2008</t>
    <phoneticPr fontId="7"/>
  </si>
  <si>
    <t xml:space="preserve">WADE, World Survey of Decentralized Energy (2006) </t>
    <phoneticPr fontId="7" type="noConversion"/>
  </si>
  <si>
    <t>RMI analysis employing the World Alliance For Decentralized Energy (WADE http://www.localpower.org/)</t>
    <phoneticPr fontId="7" type="noConversion"/>
  </si>
  <si>
    <t>methodology, based on Diesel and Gas Turbine World Wide Power Generation Survey</t>
    <phoneticPr fontId="7" type="noConversion"/>
  </si>
  <si>
    <t>Output</t>
  </si>
  <si>
    <t>Presentation to ACRE 2nd Annual Conference, July 8th 2003</t>
  </si>
  <si>
    <t>European Wind Energy Association</t>
  </si>
  <si>
    <t>Contact</t>
    <phoneticPr fontId="7"/>
  </si>
  <si>
    <t>Navigant Consulting</t>
  </si>
  <si>
    <t>Accessed 7 August 2007</t>
  </si>
  <si>
    <t>Wind</t>
  </si>
  <si>
    <t>EWEA Wind Force 12 2004 p. 63</t>
  </si>
  <si>
    <t>Snowmass, CO 81654, USA</t>
    <phoneticPr fontId="7"/>
  </si>
  <si>
    <t>Photovoltaic</t>
    <phoneticPr fontId="7" type="noConversion"/>
  </si>
  <si>
    <t>http://www.eia.doe.gov/oiaf/ieo/index.html</t>
  </si>
  <si>
    <t>http://europa.eu.int/comm/energy/res/sectors/photovoltaic_en.htm</t>
  </si>
  <si>
    <t>http://www.gwec.net/index.php?id=92</t>
  </si>
  <si>
    <t>Energy Information Agency, International Energy Outlook 2009</t>
    <phoneticPr fontId="7"/>
  </si>
  <si>
    <t>P. 18</t>
    <phoneticPr fontId="7" type="noConversion"/>
  </si>
  <si>
    <t>Figure: Estimated Annual Worldwide Renewable Energy Capacity Additions</t>
    <phoneticPr fontId="7"/>
  </si>
  <si>
    <t>IEA World Energy Outlook 2004, page 432</t>
    <phoneticPr fontId="7"/>
  </si>
  <si>
    <t>The Current Status of the Wind Industry, 2005</t>
  </si>
  <si>
    <t>percentage</t>
  </si>
  <si>
    <t>Cumulative</t>
  </si>
  <si>
    <t>Approximate Megawatts Electric (France)</t>
    <phoneticPr fontId="7" type="noConversion"/>
  </si>
  <si>
    <t>Approximate Megawatts Electric (Finland)</t>
    <phoneticPr fontId="7" type="noConversion"/>
  </si>
  <si>
    <t>Historical</t>
    <phoneticPr fontId="7"/>
  </si>
  <si>
    <t>Micropower</t>
    <phoneticPr fontId="7" type="noConversion"/>
  </si>
  <si>
    <t>Historical</t>
    <phoneticPr fontId="7" type="noConversion"/>
  </si>
  <si>
    <t>BP Statistical Review of World Energy (June 2010) hydro generation data minus RMI-calculated small hydro generation</t>
    <phoneticPr fontId="7" type="noConversion"/>
  </si>
  <si>
    <t>2007-2010 http://www.dieselgasturbine.com/surveys.asp</t>
    <phoneticPr fontId="7" type="noConversion"/>
  </si>
  <si>
    <t>http://www.iea.org/textbase/nppdf/free/2004/weo2004.pdf</t>
  </si>
  <si>
    <t>IAEA PRIS Database accessed 24 May 2010</t>
    <phoneticPr fontId="7"/>
  </si>
  <si>
    <t>World Nuclear Association Country Reports (see Micropower Methodology (May 2010).doc)</t>
    <phoneticPr fontId="7"/>
  </si>
  <si>
    <t>http://www.fypower.org/pdf/EIA_IntlEnergyOutlook(2006).pdf</t>
  </si>
  <si>
    <t>2317 Snowmass Creek Road</t>
  </si>
  <si>
    <t>http://www.gwec.net/fileadmin/documents/Publications/GWEC_PRstats_02-02-2011_final.pdf</t>
  </si>
  <si>
    <t>Ingvar B. Fridleifsson (United Nations University Geothermal Training Programme, Iceland)</t>
  </si>
  <si>
    <t>SB note: from NEI 01/2012 Update</t>
  </si>
  <si>
    <t>ABL note: use projected 2011 uprates until we have a time to find new numbers</t>
  </si>
  <si>
    <t>2010: International Geothermal Association</t>
  </si>
  <si>
    <t>SB note: The Hydroelectricity data for previous years is different between the 2011 &amp; 2010 reports; consider updating past data.</t>
  </si>
  <si>
    <t>Global Wind Statistics 2012</t>
  </si>
  <si>
    <t>Titiaan Palazzi</t>
  </si>
  <si>
    <t>Uprates</t>
  </si>
  <si>
    <t>(BP) Electrical</t>
  </si>
  <si>
    <t>(EIA) Electrical</t>
  </si>
  <si>
    <t>n/a</t>
  </si>
  <si>
    <t>&gt;30MW</t>
  </si>
  <si>
    <t>Output range</t>
  </si>
  <si>
    <t>MW counted</t>
  </si>
  <si>
    <t>%Continuous</t>
  </si>
  <si>
    <t>Total output (MWe)</t>
  </si>
  <si>
    <t>% counted</t>
  </si>
  <si>
    <t>&lt;30MW</t>
  </si>
  <si>
    <t>30 to 60</t>
  </si>
  <si>
    <t>60to 120</t>
  </si>
  <si>
    <t>120 to 180</t>
  </si>
  <si>
    <t>180 or above</t>
  </si>
  <si>
    <t>2010 gas turbine</t>
  </si>
  <si>
    <t>SUM</t>
  </si>
  <si>
    <t>2010 engines</t>
  </si>
  <si>
    <t>2010 TOTAL</t>
  </si>
  <si>
    <t>MW</t>
  </si>
  <si>
    <t>2011 engines</t>
  </si>
  <si>
    <t>2011 gas turbine</t>
  </si>
  <si>
    <t>2011 TOTAL</t>
  </si>
  <si>
    <t>2012 engines</t>
  </si>
  <si>
    <t>2012 gas turbine</t>
  </si>
  <si>
    <t>2012 TOTAL</t>
  </si>
  <si>
    <t>BP Statistical Review of World Energy (2011): 2010 Data</t>
  </si>
  <si>
    <t>(IAEA PRIS)</t>
  </si>
  <si>
    <t>(GWEC)</t>
  </si>
  <si>
    <t>(BP)</t>
  </si>
  <si>
    <t>capacity</t>
  </si>
  <si>
    <t>factor</t>
  </si>
  <si>
    <t>(IAEA) Electrical</t>
  </si>
  <si>
    <t xml:space="preserve">(CF) Electrical </t>
  </si>
  <si>
    <t>(EPIA)</t>
  </si>
  <si>
    <t>Micropower Database 2014 release</t>
  </si>
  <si>
    <t>(BNEF)</t>
  </si>
  <si>
    <t>(BNEF * CF)</t>
  </si>
  <si>
    <t>Inferred</t>
  </si>
  <si>
    <t>Nominal</t>
  </si>
  <si>
    <t>CF</t>
  </si>
  <si>
    <t>Nom-CF-based</t>
  </si>
  <si>
    <t xml:space="preserve">Micropower / </t>
  </si>
  <si>
    <t>2013 gas turbine</t>
  </si>
  <si>
    <t>2013 reciprocating engines</t>
  </si>
  <si>
    <t>2010 steam turbine (all continuous)</t>
  </si>
  <si>
    <t>2011 steam turbine (all continuous)</t>
  </si>
  <si>
    <t>2012 steam turbine (all continuous)</t>
  </si>
  <si>
    <t>2013 steam turbine (all continuous)</t>
  </si>
  <si>
    <t>Diesel &amp; Gas Turbine Worldwide, Annual Power Generation Order Survey</t>
  </si>
  <si>
    <t>http://www.dieselgasturbine.com/Market-Surveys/</t>
  </si>
  <si>
    <r>
      <t xml:space="preserve">Date </t>
    </r>
    <r>
      <rPr>
        <b/>
        <sz val="10"/>
        <rFont val="Verdana"/>
      </rPr>
      <t xml:space="preserve">modified </t>
    </r>
  </si>
  <si>
    <t>tpalazzi@rmi.org</t>
  </si>
  <si>
    <t>LARGE HYDRO</t>
  </si>
  <si>
    <t>additions</t>
  </si>
  <si>
    <t>(GW)</t>
  </si>
  <si>
    <t>(Capacity * CF)</t>
  </si>
  <si>
    <t>(TWh/y)</t>
  </si>
  <si>
    <t>Small hydro</t>
  </si>
  <si>
    <t>Small hydro generation</t>
  </si>
  <si>
    <t>generation</t>
  </si>
  <si>
    <t>Total generation</t>
  </si>
  <si>
    <t>Large hydro</t>
  </si>
  <si>
    <t>SMALL HYDRO (&lt;50MW)</t>
  </si>
  <si>
    <t>FOR SOURCES AND CALCULATIONS, PLEASE SEE RESPECTIVE SPREADSHEETS</t>
  </si>
  <si>
    <t>source</t>
  </si>
  <si>
    <t xml:space="preserve">Renewables </t>
  </si>
  <si>
    <t>(excl. big hydro)</t>
  </si>
  <si>
    <t>(DGTW)</t>
  </si>
  <si>
    <t>Large Hydro</t>
  </si>
  <si>
    <t>(BP, BNEF)</t>
  </si>
  <si>
    <t>nuclear ratio</t>
  </si>
  <si>
    <t>Worldwide</t>
  </si>
  <si>
    <t>DO NOT CHANGE DATA IN THIS SHEET, RATHER CHANGE NUMBERS ON 'SOURCE DATA' FROM WHICH THESE ARE CALCULATED</t>
  </si>
  <si>
    <t>Installed capacity (GW)</t>
  </si>
  <si>
    <t>Micropower /</t>
  </si>
  <si>
    <t>total generation</t>
  </si>
  <si>
    <t>Nuclear /</t>
  </si>
  <si>
    <t>Ratio BNEF / RMI</t>
  </si>
  <si>
    <t>Verification</t>
  </si>
  <si>
    <t>IAEA Nuclear Power Reactors of the World, 2014 Edition</t>
  </si>
  <si>
    <t>http://www-pub.iaea.org/MTCD/Publications/PDF/rds-2-34_web.pdf</t>
  </si>
  <si>
    <t>For explanation of the methodology, please see Micropower Methodology (July 2014).doc.</t>
  </si>
  <si>
    <t xml:space="preserve">This sheet presents the source data needed to find nuclear capacity and output.  </t>
  </si>
  <si>
    <t>http://www.iaea.org/PRIS/WorldStatistics/WorldTrendNuclearPowerCapacity.aspx</t>
  </si>
  <si>
    <t>http://www.iaea.org/PRIS/WorldStatistics/WorldTrendinElectricalProduction.aspx</t>
  </si>
  <si>
    <t>BP Statistical Review of World Energy, 2014 Edition</t>
  </si>
  <si>
    <t>http://www.bp.com/content/dam/bp/pdf/Energy-economics/statistical-review-2014/BP-statistical-review-of-world-energy-2014-full-report.pdf</t>
  </si>
  <si>
    <t>GWEC Wind Energy Outlook 2008, 30% Capacity Factor in 2036</t>
  </si>
  <si>
    <t>Capacity Factor</t>
  </si>
  <si>
    <t>Generation</t>
  </si>
  <si>
    <t>EIA International Energy Statistics</t>
  </si>
  <si>
    <t>http://www.eia.gov/cfapps/ipdbproject/iedindex3.cfm?tid=6&amp;pid=37&amp;aid=12&amp;cid=regions&amp;syid=1990&amp;eyid=2012&amp;unit=BKWH</t>
  </si>
  <si>
    <t xml:space="preserve">This sheet presents the source data needed to find wind capacity and output.  </t>
  </si>
  <si>
    <t xml:space="preserve">This sheet presents the source data needed to find solar PV capacity and output.  </t>
  </si>
  <si>
    <t>Manufactured</t>
  </si>
  <si>
    <t>EPIA 2014 Global Market Outlook, p. 13</t>
  </si>
  <si>
    <t>http://www.epia.org/fileadmin/user_upload/Publications/EPIA_Global_Market_Outlook_for_Photovoltaics_2014-2018_-_Medium_Res.pdf</t>
  </si>
  <si>
    <t>Note: Data in bold from respective sources, other data extrapolated/interpolated</t>
  </si>
  <si>
    <t xml:space="preserve">This sheet presents the source data needed to find hydro capacity and output.  </t>
  </si>
  <si>
    <t>(MW)</t>
  </si>
  <si>
    <t>NUCLEAR</t>
  </si>
  <si>
    <t>WIND</t>
  </si>
  <si>
    <t>Installed</t>
  </si>
  <si>
    <t>Decommissioned</t>
  </si>
  <si>
    <t>SOLAR PHOTOVOLTAIC (PV)</t>
  </si>
  <si>
    <t>Bloomberg New Energy Finance (BNEF), 2014 database</t>
  </si>
  <si>
    <t>Capacity factor</t>
  </si>
  <si>
    <t>European Association for Small Hydro</t>
  </si>
  <si>
    <t>http://www.esha.be/about/about-small-hydropower/small-hydropower-in-figures.html</t>
  </si>
  <si>
    <t xml:space="preserve">This sheet presents the source data needed to find geothermal capacity and output.  </t>
  </si>
  <si>
    <t xml:space="preserve">Cumulative </t>
  </si>
  <si>
    <t xml:space="preserve">This sheet presents the source data needed to find biomass capacity and output.  </t>
  </si>
  <si>
    <t>capacity (BNEF)</t>
  </si>
  <si>
    <t>output</t>
  </si>
  <si>
    <t xml:space="preserve">(BNEF) Eletrical </t>
  </si>
  <si>
    <t>manufactured</t>
  </si>
  <si>
    <t>Net annual</t>
  </si>
  <si>
    <t>REN21 Global Status Report 2005-2014</t>
  </si>
  <si>
    <t>http://www.ren21.net/portals/0/documents/resources/gsr/2014/gsr2014_full%20report_low%20res.pdf</t>
  </si>
  <si>
    <t>Electrical</t>
  </si>
  <si>
    <t>output (BP)</t>
  </si>
  <si>
    <t>output (BNEF)</t>
  </si>
  <si>
    <t xml:space="preserve">This sheet presents the source data needed to find cogeneration capacity and output.  </t>
  </si>
  <si>
    <t>&gt;2009 capacity</t>
  </si>
  <si>
    <t>≤2009 capacity</t>
  </si>
  <si>
    <t>Non-biomass</t>
  </si>
  <si>
    <t>cogeneration</t>
  </si>
  <si>
    <t>Non-biomas</t>
  </si>
  <si>
    <t>Electrical output</t>
  </si>
  <si>
    <t>non-biomass cogen</t>
  </si>
  <si>
    <t>This page is not intended for review, but includes cogeneration numbers from 2010–2013 DGTW</t>
  </si>
  <si>
    <t xml:space="preserve"> +1 (970) 927-7316</t>
  </si>
  <si>
    <t>Annual gross electricity generation (TWh/y)</t>
  </si>
  <si>
    <t>Shutdowns</t>
  </si>
  <si>
    <t>Net Incrase of</t>
  </si>
  <si>
    <t>BP Statistical Review of World Energy, 2014 Edition (used in our summary data)</t>
  </si>
  <si>
    <t>Note: Data in bold from respective sources, other data extrapolated/interpolated. Summary output data based on BP column.</t>
  </si>
  <si>
    <t>REN21 Global Status Report 2005–2013</t>
  </si>
  <si>
    <t>Brown, Michael. Director of WADE. Personal Communications. June 2005. 7250 operational h/y. Confirmed unofficially in June 2014 w/ Brent Haight, Publisher of DGTW.</t>
  </si>
  <si>
    <t>Note: Data in bold from respective sources, other data extrapolated/interpolated.</t>
  </si>
  <si>
    <t>Light-green fill indicates data that are used for Capacity (TW) and Generation (TWh) spreadsheets and graphs.</t>
  </si>
  <si>
    <t>Methodology and more information</t>
  </si>
  <si>
    <t>http://www.rmi.org/micropower-database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</si>
</sst>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0.000"/>
    <numFmt numFmtId="165" formatCode="0.0"/>
    <numFmt numFmtId="166" formatCode="mmmm\ d\,\ yyyy"/>
    <numFmt numFmtId="167" formatCode="_-* ###0.0_-;\(###0.0\);_-* &quot;–&quot;_-;_-@_-"/>
    <numFmt numFmtId="168" formatCode="_(* #,##0.0_);_(* \(#,##0.0\);_(* &quot;-&quot;??_);_(@_)"/>
    <numFmt numFmtId="169" formatCode="_(* #,##0_);_(* \(#,##0\);_(* &quot;-&quot;??_);_(@_)"/>
    <numFmt numFmtId="170" formatCode="[&gt;=0.05]0.0;[=0]\-;\^"/>
  </numFmts>
  <fonts count="68" x14ac:knownFonts="1">
    <font>
      <sz val="10"/>
      <name val="Verdana"/>
    </font>
    <font>
      <sz val="10"/>
      <name val="Verdana"/>
    </font>
    <font>
      <b/>
      <sz val="10"/>
      <name val="Verdana"/>
    </font>
    <font>
      <sz val="10"/>
      <name val="Verdana"/>
    </font>
    <font>
      <b/>
      <sz val="10"/>
      <name val="Verdana"/>
    </font>
    <font>
      <sz val="10"/>
      <name val="Verdana"/>
    </font>
    <font>
      <u/>
      <sz val="10"/>
      <color indexed="12"/>
      <name val="Verdana"/>
    </font>
    <font>
      <sz val="8"/>
      <name val="Verdana"/>
    </font>
    <font>
      <sz val="10"/>
      <color indexed="12"/>
      <name val="Verdana"/>
    </font>
    <font>
      <b/>
      <sz val="10"/>
      <color indexed="19"/>
      <name val="Verdana"/>
    </font>
    <font>
      <b/>
      <sz val="16"/>
      <name val="Verdana"/>
    </font>
    <font>
      <b/>
      <sz val="9"/>
      <color indexed="81"/>
      <name val="Verdana"/>
      <family val="2"/>
    </font>
    <font>
      <sz val="9"/>
      <color indexed="81"/>
      <name val="Verdana"/>
      <family val="2"/>
    </font>
    <font>
      <sz val="7"/>
      <name val="Arial"/>
    </font>
    <font>
      <b/>
      <sz val="10"/>
      <color indexed="52"/>
      <name val="Verdana"/>
    </font>
    <font>
      <u/>
      <sz val="10"/>
      <color theme="11"/>
      <name val="Verdana"/>
    </font>
    <font>
      <b/>
      <sz val="10"/>
      <color theme="9"/>
      <name val="Verdana"/>
    </font>
    <font>
      <sz val="10"/>
      <color rgb="FF008000"/>
      <name val="Verdana"/>
    </font>
    <font>
      <b/>
      <sz val="10"/>
      <name val="Helvetica Neue"/>
    </font>
    <font>
      <sz val="10"/>
      <name val="Helvetica Neue"/>
    </font>
    <font>
      <b/>
      <sz val="10"/>
      <color indexed="53"/>
      <name val="Helvetica Neue"/>
    </font>
    <font>
      <b/>
      <sz val="10"/>
      <color indexed="16"/>
      <name val="Helvetica Neue"/>
    </font>
    <font>
      <b/>
      <sz val="10"/>
      <color indexed="23"/>
      <name val="Helvetica Neue"/>
    </font>
    <font>
      <b/>
      <sz val="10"/>
      <color indexed="19"/>
      <name val="Helvetica Neue"/>
    </font>
    <font>
      <b/>
      <sz val="11"/>
      <name val="Helvetica Neue"/>
    </font>
    <font>
      <sz val="11"/>
      <name val="Helvetica Neue"/>
    </font>
    <font>
      <b/>
      <sz val="11"/>
      <color indexed="53"/>
      <name val="Helvetica Neue"/>
    </font>
    <font>
      <b/>
      <sz val="11"/>
      <color indexed="10"/>
      <name val="Helvetica Neue"/>
    </font>
    <font>
      <b/>
      <sz val="11"/>
      <color indexed="12"/>
      <name val="Helvetica Neue"/>
    </font>
    <font>
      <b/>
      <sz val="11"/>
      <color indexed="11"/>
      <name val="Helvetica Neue"/>
    </font>
    <font>
      <b/>
      <sz val="11"/>
      <color indexed="61"/>
      <name val="Helvetica Neue"/>
    </font>
    <font>
      <b/>
      <sz val="11"/>
      <color indexed="40"/>
      <name val="Helvetica Neue"/>
    </font>
    <font>
      <sz val="10"/>
      <name val="Arial"/>
      <family val="2"/>
    </font>
    <font>
      <b/>
      <sz val="12"/>
      <name val="Helvetica Neue"/>
    </font>
    <font>
      <sz val="12"/>
      <name val="Helvetica Neue"/>
    </font>
    <font>
      <b/>
      <sz val="10"/>
      <color rgb="FFFF0000"/>
      <name val="Helvetica Neue"/>
    </font>
    <font>
      <u/>
      <sz val="10"/>
      <color indexed="12"/>
      <name val="Helvetica Neue"/>
    </font>
    <font>
      <b/>
      <sz val="10"/>
      <color indexed="10"/>
      <name val="Helvetica Neue"/>
    </font>
    <font>
      <sz val="10"/>
      <color indexed="12"/>
      <name val="Helvetica Neue"/>
    </font>
    <font>
      <b/>
      <sz val="10"/>
      <color rgb="FF008000"/>
      <name val="Helvetica Neue"/>
    </font>
    <font>
      <u/>
      <sz val="10"/>
      <color rgb="FF3366FF"/>
      <name val="Helvetica Neue"/>
    </font>
    <font>
      <b/>
      <sz val="10"/>
      <color theme="4" tint="-0.249977111117893"/>
      <name val="Helvetica Neue"/>
    </font>
    <font>
      <b/>
      <sz val="10"/>
      <color theme="2" tint="-0.499984740745262"/>
      <name val="Helvetica Neue"/>
    </font>
    <font>
      <b/>
      <sz val="10"/>
      <color theme="8" tint="0.39997558519241921"/>
      <name val="Helvetica Neue"/>
    </font>
    <font>
      <b/>
      <sz val="10"/>
      <color indexed="14"/>
      <name val="Helvetica Neue"/>
    </font>
    <font>
      <b/>
      <sz val="10"/>
      <color theme="9" tint="-0.249977111117893"/>
      <name val="Helvetica Neue"/>
    </font>
    <font>
      <b/>
      <sz val="10"/>
      <color indexed="11"/>
      <name val="Helvetica Neue"/>
    </font>
    <font>
      <sz val="10"/>
      <color indexed="8"/>
      <name val="Helvetica Neue"/>
    </font>
    <font>
      <b/>
      <sz val="10"/>
      <color indexed="8"/>
      <name val="Helvetica Neue"/>
    </font>
    <font>
      <b/>
      <sz val="10"/>
      <color indexed="61"/>
      <name val="Helvetica Neue"/>
    </font>
    <font>
      <b/>
      <sz val="10"/>
      <color indexed="30"/>
      <name val="Helvetica Neue"/>
    </font>
    <font>
      <b/>
      <sz val="10"/>
      <color indexed="17"/>
      <name val="Helvetica Neue"/>
    </font>
    <font>
      <b/>
      <sz val="10"/>
      <color indexed="40"/>
      <name val="Helvetica Neue"/>
    </font>
    <font>
      <b/>
      <sz val="10"/>
      <color indexed="50"/>
      <name val="Helvetica Neue"/>
    </font>
    <font>
      <b/>
      <sz val="10"/>
      <color rgb="FF000090"/>
      <name val="Helvetica Neue"/>
    </font>
    <font>
      <b/>
      <sz val="10"/>
      <color rgb="FF0000FF"/>
      <name val="Helvetica Neue"/>
    </font>
    <font>
      <sz val="10"/>
      <color rgb="FF660066"/>
      <name val="Helvetica Neue"/>
    </font>
    <font>
      <b/>
      <sz val="10"/>
      <color indexed="20"/>
      <name val="Helvetica Neue"/>
    </font>
    <font>
      <b/>
      <sz val="10"/>
      <color theme="8" tint="-0.249977111117893"/>
      <name val="Helvetica Neue"/>
    </font>
    <font>
      <sz val="10"/>
      <color theme="8" tint="-0.249977111117893"/>
      <name val="Helvetica Neue"/>
    </font>
    <font>
      <b/>
      <sz val="10"/>
      <color theme="3" tint="0.39997558519241921"/>
      <name val="Helvetica Neue"/>
    </font>
    <font>
      <b/>
      <sz val="10"/>
      <color theme="9" tint="-0.499984740745262"/>
      <name val="Helvetica Neue"/>
    </font>
    <font>
      <b/>
      <sz val="10"/>
      <color rgb="FF538DD5"/>
      <name val="Helvetica Neue"/>
    </font>
    <font>
      <b/>
      <sz val="10"/>
      <color indexed="46"/>
      <name val="Helvetica Neue"/>
    </font>
    <font>
      <b/>
      <sz val="10"/>
      <color indexed="55"/>
      <name val="Helvetica Neue"/>
    </font>
    <font>
      <b/>
      <sz val="10"/>
      <color indexed="12"/>
      <name val="Helvetica Neue"/>
    </font>
    <font>
      <b/>
      <sz val="10"/>
      <color indexed="57"/>
      <name val="Helvetica Neue"/>
    </font>
    <font>
      <b/>
      <sz val="10"/>
      <color rgb="FFFF6600"/>
      <name val="Helvetica Neue"/>
    </font>
  </fonts>
  <fills count="13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3297E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118DD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rgb="FF000000"/>
      </patternFill>
    </fill>
  </fills>
  <borders count="2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43" fontId="5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167" fontId="13" fillId="0" borderId="0">
      <alignment horizontal="right" vertical="center"/>
    </xf>
    <xf numFmtId="9" fontId="3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492">
    <xf numFmtId="0" fontId="0" fillId="0" borderId="0" xfId="0"/>
    <xf numFmtId="0" fontId="0" fillId="0" borderId="0" xfId="0" applyBorder="1"/>
    <xf numFmtId="0" fontId="4" fillId="0" borderId="0" xfId="0" applyFont="1" applyBorder="1"/>
    <xf numFmtId="0" fontId="0" fillId="0" borderId="5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0" xfId="0" applyBorder="1"/>
    <xf numFmtId="0" fontId="0" fillId="0" borderId="0" xfId="0" applyFill="1" applyBorder="1"/>
    <xf numFmtId="0" fontId="4" fillId="2" borderId="12" xfId="0" applyFont="1" applyFill="1" applyBorder="1"/>
    <xf numFmtId="0" fontId="5" fillId="0" borderId="0" xfId="0" applyFont="1" applyBorder="1" applyAlignment="1">
      <alignment horizontal="left"/>
    </xf>
    <xf numFmtId="14" fontId="5" fillId="0" borderId="0" xfId="0" applyNumberFormat="1" applyFont="1" applyBorder="1" applyAlignment="1">
      <alignment horizontal="left"/>
    </xf>
    <xf numFmtId="166" fontId="5" fillId="0" borderId="0" xfId="0" applyNumberFormat="1" applyFont="1" applyBorder="1" applyAlignment="1">
      <alignment horizontal="left"/>
    </xf>
    <xf numFmtId="0" fontId="0" fillId="0" borderId="0" xfId="0" applyBorder="1" applyAlignment="1">
      <alignment horizontal="center"/>
    </xf>
    <xf numFmtId="0" fontId="5" fillId="0" borderId="0" xfId="0" applyFont="1" applyFill="1" applyBorder="1"/>
    <xf numFmtId="0" fontId="6" fillId="0" borderId="0" xfId="2" applyFill="1" applyBorder="1" applyAlignment="1" applyProtection="1"/>
    <xf numFmtId="0" fontId="0" fillId="0" borderId="4" xfId="0" applyFill="1" applyBorder="1"/>
    <xf numFmtId="0" fontId="10" fillId="0" borderId="0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8" fillId="0" borderId="0" xfId="2" applyFont="1" applyFill="1" applyBorder="1" applyAlignment="1" applyProtection="1"/>
    <xf numFmtId="0" fontId="0" fillId="0" borderId="0" xfId="0"/>
    <xf numFmtId="0" fontId="6" fillId="0" borderId="0" xfId="2" applyBorder="1" applyAlignment="1" applyProtection="1"/>
    <xf numFmtId="0" fontId="0" fillId="0" borderId="0" xfId="0" applyAlignment="1">
      <alignment wrapText="1"/>
    </xf>
    <xf numFmtId="0" fontId="0" fillId="0" borderId="0" xfId="0" quotePrefix="1" applyBorder="1" applyAlignment="1">
      <alignment horizontal="center"/>
    </xf>
    <xf numFmtId="0" fontId="0" fillId="0" borderId="0" xfId="0"/>
    <xf numFmtId="0" fontId="14" fillId="0" borderId="0" xfId="0" applyFont="1" applyBorder="1"/>
    <xf numFmtId="0" fontId="5" fillId="0" borderId="4" xfId="2" applyFont="1" applyFill="1" applyBorder="1" applyAlignment="1" applyProtection="1"/>
    <xf numFmtId="0" fontId="0" fillId="2" borderId="13" xfId="0" applyFill="1" applyBorder="1" applyAlignment="1">
      <alignment wrapText="1"/>
    </xf>
    <xf numFmtId="0" fontId="0" fillId="2" borderId="15" xfId="0" applyFill="1" applyBorder="1" applyAlignment="1">
      <alignment wrapText="1"/>
    </xf>
    <xf numFmtId="0" fontId="5" fillId="2" borderId="13" xfId="0" applyFont="1" applyFill="1" applyBorder="1" applyAlignment="1">
      <alignment horizontal="left" wrapText="1"/>
    </xf>
    <xf numFmtId="0" fontId="5" fillId="2" borderId="13" xfId="0" applyFont="1" applyFill="1" applyBorder="1"/>
    <xf numFmtId="0" fontId="5" fillId="2" borderId="14" xfId="0" applyFont="1" applyFill="1" applyBorder="1"/>
    <xf numFmtId="0" fontId="0" fillId="5" borderId="0" xfId="0" applyFill="1" applyBorder="1"/>
    <xf numFmtId="0" fontId="0" fillId="5" borderId="5" xfId="0" applyFill="1" applyBorder="1"/>
    <xf numFmtId="0" fontId="9" fillId="5" borderId="4" xfId="0" applyFont="1" applyFill="1" applyBorder="1"/>
    <xf numFmtId="0" fontId="0" fillId="5" borderId="4" xfId="2" applyFont="1" applyFill="1" applyBorder="1" applyAlignment="1" applyProtection="1"/>
    <xf numFmtId="0" fontId="0" fillId="5" borderId="0" xfId="0" applyFill="1" applyBorder="1" applyAlignment="1">
      <alignment horizontal="left" wrapText="1"/>
    </xf>
    <xf numFmtId="0" fontId="0" fillId="0" borderId="13" xfId="0" applyBorder="1"/>
    <xf numFmtId="0" fontId="0" fillId="0" borderId="15" xfId="0" applyBorder="1"/>
    <xf numFmtId="0" fontId="2" fillId="0" borderId="0" xfId="0" applyFont="1"/>
    <xf numFmtId="0" fontId="16" fillId="0" borderId="4" xfId="0" applyFont="1" applyBorder="1"/>
    <xf numFmtId="0" fontId="4" fillId="0" borderId="13" xfId="0" applyFont="1" applyBorder="1"/>
    <xf numFmtId="0" fontId="0" fillId="0" borderId="14" xfId="0" applyBorder="1"/>
    <xf numFmtId="0" fontId="4" fillId="5" borderId="4" xfId="0" applyFont="1" applyFill="1" applyBorder="1"/>
    <xf numFmtId="0" fontId="5" fillId="5" borderId="4" xfId="2" applyFont="1" applyFill="1" applyBorder="1" applyAlignment="1" applyProtection="1"/>
    <xf numFmtId="0" fontId="0" fillId="7" borderId="10" xfId="0" applyFill="1" applyBorder="1"/>
    <xf numFmtId="165" fontId="1" fillId="7" borderId="0" xfId="1" applyNumberFormat="1" applyFont="1" applyFill="1" applyBorder="1" applyAlignment="1">
      <alignment horizontal="right" vertical="top" wrapText="1" indent="2"/>
    </xf>
    <xf numFmtId="0" fontId="0" fillId="7" borderId="0" xfId="0" applyFill="1" applyBorder="1"/>
    <xf numFmtId="0" fontId="0" fillId="7" borderId="10" xfId="0" applyFont="1" applyFill="1" applyBorder="1" applyAlignment="1">
      <alignment horizontal="right" vertical="top" wrapText="1"/>
    </xf>
    <xf numFmtId="0" fontId="0" fillId="7" borderId="0" xfId="0" applyFill="1"/>
    <xf numFmtId="0" fontId="0" fillId="0" borderId="0" xfId="0" applyFont="1"/>
    <xf numFmtId="43" fontId="0" fillId="0" borderId="0" xfId="1" applyFont="1"/>
    <xf numFmtId="0" fontId="0" fillId="0" borderId="16" xfId="0" applyBorder="1"/>
    <xf numFmtId="0" fontId="0" fillId="0" borderId="17" xfId="0" applyBorder="1"/>
    <xf numFmtId="0" fontId="0" fillId="0" borderId="18" xfId="0" applyBorder="1"/>
    <xf numFmtId="2" fontId="0" fillId="0" borderId="19" xfId="0" applyNumberFormat="1" applyBorder="1"/>
    <xf numFmtId="0" fontId="0" fillId="0" borderId="19" xfId="0" applyBorder="1"/>
    <xf numFmtId="0" fontId="0" fillId="0" borderId="21" xfId="0" applyBorder="1"/>
    <xf numFmtId="0" fontId="0" fillId="0" borderId="24" xfId="0" applyFont="1" applyBorder="1"/>
    <xf numFmtId="43" fontId="0" fillId="0" borderId="25" xfId="1" applyFont="1" applyBorder="1"/>
    <xf numFmtId="15" fontId="17" fillId="0" borderId="0" xfId="0" applyNumberFormat="1" applyFont="1" applyFill="1" applyBorder="1"/>
    <xf numFmtId="0" fontId="0" fillId="0" borderId="6" xfId="0" applyFill="1" applyBorder="1"/>
    <xf numFmtId="0" fontId="0" fillId="0" borderId="7" xfId="0" applyFill="1" applyBorder="1"/>
    <xf numFmtId="0" fontId="2" fillId="0" borderId="0" xfId="0" applyFont="1" applyBorder="1"/>
    <xf numFmtId="0" fontId="2" fillId="0" borderId="0" xfId="0" applyFont="1" applyBorder="1" applyAlignment="1">
      <alignment wrapText="1"/>
    </xf>
    <xf numFmtId="15" fontId="0" fillId="0" borderId="0" xfId="0" applyNumberFormat="1" applyFont="1" applyFill="1" applyBorder="1"/>
    <xf numFmtId="0" fontId="18" fillId="0" borderId="0" xfId="0" applyFont="1"/>
    <xf numFmtId="0" fontId="19" fillId="0" borderId="0" xfId="0" applyFont="1"/>
    <xf numFmtId="0" fontId="19" fillId="0" borderId="2" xfId="0" applyFont="1" applyBorder="1"/>
    <xf numFmtId="164" fontId="19" fillId="0" borderId="0" xfId="0" applyNumberFormat="1" applyFont="1" applyFill="1" applyBorder="1"/>
    <xf numFmtId="0" fontId="19" fillId="0" borderId="0" xfId="0" applyFont="1" applyBorder="1"/>
    <xf numFmtId="0" fontId="19" fillId="0" borderId="5" xfId="0" applyFont="1" applyBorder="1"/>
    <xf numFmtId="0" fontId="19" fillId="0" borderId="10" xfId="0" applyFont="1" applyBorder="1"/>
    <xf numFmtId="164" fontId="19" fillId="0" borderId="0" xfId="0" applyNumberFormat="1" applyFont="1" applyBorder="1"/>
    <xf numFmtId="0" fontId="18" fillId="0" borderId="0" xfId="0" applyFont="1" applyBorder="1"/>
    <xf numFmtId="0" fontId="18" fillId="0" borderId="0" xfId="0" applyFont="1" applyFill="1" applyBorder="1"/>
    <xf numFmtId="0" fontId="19" fillId="0" borderId="0" xfId="0" applyFont="1" applyFill="1"/>
    <xf numFmtId="0" fontId="19" fillId="0" borderId="4" xfId="0" applyFont="1" applyBorder="1"/>
    <xf numFmtId="0" fontId="21" fillId="0" borderId="4" xfId="0" applyFont="1" applyBorder="1"/>
    <xf numFmtId="164" fontId="19" fillId="3" borderId="0" xfId="0" applyNumberFormat="1" applyFont="1" applyFill="1" applyBorder="1"/>
    <xf numFmtId="9" fontId="19" fillId="0" borderId="5" xfId="4" applyFont="1" applyBorder="1"/>
    <xf numFmtId="0" fontId="19" fillId="0" borderId="6" xfId="0" applyFont="1" applyBorder="1"/>
    <xf numFmtId="0" fontId="19" fillId="0" borderId="8" xfId="0" applyFont="1" applyBorder="1"/>
    <xf numFmtId="0" fontId="19" fillId="0" borderId="1" xfId="0" applyFont="1" applyFill="1" applyBorder="1" applyAlignment="1">
      <alignment horizontal="left" wrapText="1"/>
    </xf>
    <xf numFmtId="0" fontId="19" fillId="0" borderId="2" xfId="0" applyFont="1" applyFill="1" applyBorder="1" applyAlignment="1">
      <alignment horizontal="left" wrapText="1"/>
    </xf>
    <xf numFmtId="4" fontId="18" fillId="0" borderId="2" xfId="0" applyNumberFormat="1" applyFont="1" applyFill="1" applyBorder="1"/>
    <xf numFmtId="4" fontId="18" fillId="0" borderId="3" xfId="0" applyNumberFormat="1" applyFont="1" applyBorder="1"/>
    <xf numFmtId="0" fontId="19" fillId="0" borderId="4" xfId="2" applyFont="1" applyFill="1" applyBorder="1" applyAlignment="1" applyProtection="1"/>
    <xf numFmtId="0" fontId="19" fillId="0" borderId="0" xfId="0" applyFont="1" applyFill="1" applyBorder="1" applyAlignment="1">
      <alignment horizontal="left" wrapText="1"/>
    </xf>
    <xf numFmtId="4" fontId="18" fillId="0" borderId="0" xfId="0" applyNumberFormat="1" applyFont="1" applyFill="1" applyBorder="1"/>
    <xf numFmtId="4" fontId="18" fillId="0" borderId="5" xfId="0" applyNumberFormat="1" applyFont="1" applyBorder="1"/>
    <xf numFmtId="0" fontId="20" fillId="0" borderId="4" xfId="0" applyFont="1" applyBorder="1"/>
    <xf numFmtId="0" fontId="19" fillId="7" borderId="4" xfId="2" applyFont="1" applyFill="1" applyBorder="1" applyAlignment="1" applyProtection="1"/>
    <xf numFmtId="0" fontId="19" fillId="7" borderId="0" xfId="0" applyFont="1" applyFill="1" applyBorder="1" applyAlignment="1">
      <alignment horizontal="left" wrapText="1"/>
    </xf>
    <xf numFmtId="4" fontId="18" fillId="7" borderId="0" xfId="0" applyNumberFormat="1" applyFont="1" applyFill="1" applyBorder="1"/>
    <xf numFmtId="0" fontId="19" fillId="7" borderId="0" xfId="0" applyFont="1" applyFill="1" applyBorder="1"/>
    <xf numFmtId="4" fontId="18" fillId="7" borderId="5" xfId="0" applyNumberFormat="1" applyFont="1" applyFill="1" applyBorder="1"/>
    <xf numFmtId="0" fontId="23" fillId="0" borderId="4" xfId="0" applyFont="1" applyBorder="1"/>
    <xf numFmtId="0" fontId="19" fillId="0" borderId="7" xfId="0" applyFont="1" applyBorder="1"/>
    <xf numFmtId="164" fontId="19" fillId="0" borderId="0" xfId="0" quotePrefix="1" applyNumberFormat="1" applyFont="1" applyFill="1" applyBorder="1"/>
    <xf numFmtId="2" fontId="20" fillId="0" borderId="0" xfId="0" applyNumberFormat="1" applyFont="1" applyBorder="1"/>
    <xf numFmtId="0" fontId="21" fillId="0" borderId="0" xfId="0" applyFont="1" applyFill="1" applyBorder="1"/>
    <xf numFmtId="9" fontId="19" fillId="0" borderId="0" xfId="4" applyFont="1" applyBorder="1"/>
    <xf numFmtId="43" fontId="0" fillId="0" borderId="26" xfId="1" applyFont="1" applyBorder="1"/>
    <xf numFmtId="0" fontId="0" fillId="0" borderId="26" xfId="0" applyBorder="1"/>
    <xf numFmtId="0" fontId="2" fillId="0" borderId="12" xfId="0" applyFont="1" applyBorder="1"/>
    <xf numFmtId="43" fontId="2" fillId="0" borderId="13" xfId="1" applyFont="1" applyBorder="1"/>
    <xf numFmtId="0" fontId="2" fillId="0" borderId="14" xfId="0" applyFont="1" applyBorder="1"/>
    <xf numFmtId="169" fontId="0" fillId="0" borderId="0" xfId="1" applyNumberFormat="1" applyFont="1" applyBorder="1"/>
    <xf numFmtId="169" fontId="0" fillId="0" borderId="20" xfId="1" applyNumberFormat="1" applyFont="1" applyBorder="1"/>
    <xf numFmtId="169" fontId="0" fillId="0" borderId="22" xfId="1" applyNumberFormat="1" applyFont="1" applyBorder="1"/>
    <xf numFmtId="169" fontId="0" fillId="0" borderId="23" xfId="1" applyNumberFormat="1" applyFont="1" applyBorder="1"/>
    <xf numFmtId="169" fontId="0" fillId="0" borderId="0" xfId="1" applyNumberFormat="1" applyFont="1" applyFill="1" applyBorder="1"/>
    <xf numFmtId="43" fontId="0" fillId="0" borderId="0" xfId="1" applyNumberFormat="1" applyFont="1" applyBorder="1"/>
    <xf numFmtId="43" fontId="0" fillId="0" borderId="22" xfId="1" applyNumberFormat="1" applyFont="1" applyBorder="1"/>
    <xf numFmtId="43" fontId="0" fillId="0" borderId="0" xfId="1" applyNumberFormat="1" applyFont="1" applyFill="1" applyBorder="1"/>
    <xf numFmtId="0" fontId="18" fillId="0" borderId="4" xfId="0" applyFont="1" applyBorder="1"/>
    <xf numFmtId="0" fontId="18" fillId="0" borderId="6" xfId="0" applyFont="1" applyBorder="1"/>
    <xf numFmtId="0" fontId="25" fillId="0" borderId="0" xfId="0" applyFont="1"/>
    <xf numFmtId="0" fontId="25" fillId="0" borderId="0" xfId="0" applyFont="1" applyBorder="1"/>
    <xf numFmtId="0" fontId="25" fillId="0" borderId="0" xfId="0" applyFont="1" applyFill="1"/>
    <xf numFmtId="164" fontId="25" fillId="0" borderId="0" xfId="0" applyNumberFormat="1" applyFont="1"/>
    <xf numFmtId="0" fontId="24" fillId="0" borderId="0" xfId="0" applyFont="1" applyBorder="1"/>
    <xf numFmtId="164" fontId="27" fillId="0" borderId="0" xfId="0" applyNumberFormat="1" applyFont="1" applyFill="1" applyBorder="1"/>
    <xf numFmtId="164" fontId="29" fillId="0" borderId="0" xfId="0" applyNumberFormat="1" applyFont="1" applyFill="1" applyBorder="1"/>
    <xf numFmtId="164" fontId="30" fillId="0" borderId="0" xfId="0" applyNumberFormat="1" applyFont="1" applyFill="1" applyBorder="1"/>
    <xf numFmtId="164" fontId="24" fillId="0" borderId="0" xfId="0" applyNumberFormat="1" applyFont="1" applyFill="1" applyBorder="1"/>
    <xf numFmtId="164" fontId="28" fillId="0" borderId="0" xfId="0" applyNumberFormat="1" applyFont="1" applyFill="1" applyBorder="1"/>
    <xf numFmtId="164" fontId="26" fillId="0" borderId="0" xfId="0" applyNumberFormat="1" applyFont="1" applyFill="1" applyBorder="1"/>
    <xf numFmtId="164" fontId="31" fillId="0" borderId="0" xfId="0" applyNumberFormat="1" applyFont="1" applyFill="1" applyBorder="1"/>
    <xf numFmtId="164" fontId="24" fillId="0" borderId="0" xfId="0" applyNumberFormat="1" applyFont="1" applyBorder="1"/>
    <xf numFmtId="2" fontId="0" fillId="0" borderId="0" xfId="1" applyNumberFormat="1" applyFont="1" applyBorder="1"/>
    <xf numFmtId="2" fontId="20" fillId="0" borderId="0" xfId="0" applyNumberFormat="1" applyFont="1" applyFill="1" applyBorder="1"/>
    <xf numFmtId="9" fontId="19" fillId="0" borderId="0" xfId="4" applyFont="1" applyFill="1" applyBorder="1"/>
    <xf numFmtId="0" fontId="19" fillId="0" borderId="0" xfId="0" applyFont="1" applyFill="1" applyBorder="1"/>
    <xf numFmtId="0" fontId="18" fillId="4" borderId="6" xfId="0" applyFont="1" applyFill="1" applyBorder="1"/>
    <xf numFmtId="0" fontId="19" fillId="4" borderId="7" xfId="0" applyFont="1" applyFill="1" applyBorder="1"/>
    <xf numFmtId="0" fontId="19" fillId="4" borderId="7" xfId="0" applyFont="1" applyFill="1" applyBorder="1" applyAlignment="1">
      <alignment horizontal="left" wrapText="1"/>
    </xf>
    <xf numFmtId="1" fontId="19" fillId="4" borderId="8" xfId="0" applyNumberFormat="1" applyFont="1" applyFill="1" applyBorder="1"/>
    <xf numFmtId="0" fontId="22" fillId="0" borderId="0" xfId="0" applyFont="1" applyFill="1" applyBorder="1"/>
    <xf numFmtId="0" fontId="19" fillId="9" borderId="8" xfId="0" applyFont="1" applyFill="1" applyBorder="1"/>
    <xf numFmtId="0" fontId="19" fillId="9" borderId="11" xfId="0" applyFont="1" applyFill="1" applyBorder="1"/>
    <xf numFmtId="9" fontId="19" fillId="0" borderId="10" xfId="4" applyFont="1" applyBorder="1"/>
    <xf numFmtId="9" fontId="19" fillId="0" borderId="11" xfId="4" applyFont="1" applyBorder="1"/>
    <xf numFmtId="9" fontId="19" fillId="0" borderId="8" xfId="4" applyFont="1" applyBorder="1"/>
    <xf numFmtId="43" fontId="19" fillId="0" borderId="10" xfId="1" applyFont="1" applyFill="1" applyBorder="1"/>
    <xf numFmtId="43" fontId="19" fillId="0" borderId="4" xfId="1" quotePrefix="1" applyFont="1" applyFill="1" applyBorder="1"/>
    <xf numFmtId="43" fontId="19" fillId="0" borderId="0" xfId="1" applyFont="1" applyFill="1" applyBorder="1"/>
    <xf numFmtId="43" fontId="19" fillId="0" borderId="0" xfId="1" applyFont="1" applyBorder="1"/>
    <xf numFmtId="43" fontId="19" fillId="0" borderId="5" xfId="1" applyFont="1" applyBorder="1"/>
    <xf numFmtId="43" fontId="19" fillId="0" borderId="10" xfId="1" applyFont="1" applyBorder="1"/>
    <xf numFmtId="43" fontId="19" fillId="3" borderId="0" xfId="1" applyFont="1" applyFill="1" applyBorder="1"/>
    <xf numFmtId="43" fontId="19" fillId="0" borderId="11" xfId="1" applyFont="1" applyFill="1" applyBorder="1"/>
    <xf numFmtId="43" fontId="19" fillId="0" borderId="6" xfId="1" quotePrefix="1" applyFont="1" applyFill="1" applyBorder="1"/>
    <xf numFmtId="43" fontId="19" fillId="0" borderId="7" xfId="1" applyFont="1" applyFill="1" applyBorder="1"/>
    <xf numFmtId="43" fontId="19" fillId="0" borderId="8" xfId="1" applyFont="1" applyFill="1" applyBorder="1"/>
    <xf numFmtId="43" fontId="19" fillId="0" borderId="11" xfId="1" applyFont="1" applyBorder="1"/>
    <xf numFmtId="43" fontId="19" fillId="0" borderId="6" xfId="1" applyFont="1" applyFill="1" applyBorder="1"/>
    <xf numFmtId="43" fontId="19" fillId="0" borderId="4" xfId="1" applyFont="1" applyFill="1" applyBorder="1"/>
    <xf numFmtId="43" fontId="32" fillId="0" borderId="0" xfId="1" applyFont="1" applyFill="1"/>
    <xf numFmtId="0" fontId="33" fillId="0" borderId="0" xfId="0" applyFont="1"/>
    <xf numFmtId="0" fontId="34" fillId="0" borderId="0" xfId="0" applyFont="1"/>
    <xf numFmtId="0" fontId="19" fillId="9" borderId="6" xfId="0" applyFont="1" applyFill="1" applyBorder="1"/>
    <xf numFmtId="0" fontId="19" fillId="9" borderId="7" xfId="0" applyFont="1" applyFill="1" applyBorder="1"/>
    <xf numFmtId="0" fontId="18" fillId="9" borderId="1" xfId="0" applyFont="1" applyFill="1" applyBorder="1" applyAlignment="1">
      <alignment horizontal="left"/>
    </xf>
    <xf numFmtId="0" fontId="18" fillId="9" borderId="2" xfId="0" applyFont="1" applyFill="1" applyBorder="1" applyAlignment="1">
      <alignment horizontal="left"/>
    </xf>
    <xf numFmtId="0" fontId="18" fillId="9" borderId="3" xfId="0" applyFont="1" applyFill="1" applyBorder="1" applyAlignment="1">
      <alignment horizontal="left"/>
    </xf>
    <xf numFmtId="0" fontId="18" fillId="9" borderId="4" xfId="0" applyFont="1" applyFill="1" applyBorder="1" applyAlignment="1">
      <alignment horizontal="left"/>
    </xf>
    <xf numFmtId="0" fontId="18" fillId="9" borderId="0" xfId="0" applyFont="1" applyFill="1" applyBorder="1" applyAlignment="1">
      <alignment horizontal="left"/>
    </xf>
    <xf numFmtId="0" fontId="18" fillId="9" borderId="5" xfId="0" applyFont="1" applyFill="1" applyBorder="1" applyAlignment="1">
      <alignment horizontal="left"/>
    </xf>
    <xf numFmtId="0" fontId="18" fillId="9" borderId="9" xfId="0" applyFont="1" applyFill="1" applyBorder="1" applyAlignment="1">
      <alignment horizontal="left"/>
    </xf>
    <xf numFmtId="0" fontId="18" fillId="9" borderId="10" xfId="0" applyFont="1" applyFill="1" applyBorder="1" applyAlignment="1">
      <alignment horizontal="left"/>
    </xf>
    <xf numFmtId="0" fontId="18" fillId="0" borderId="0" xfId="0" applyFont="1" applyFill="1" applyBorder="1"/>
    <xf numFmtId="0" fontId="18" fillId="0" borderId="0" xfId="0" applyFont="1" applyFill="1" applyBorder="1"/>
    <xf numFmtId="0" fontId="19" fillId="8" borderId="9" xfId="0" applyFont="1" applyFill="1" applyBorder="1"/>
    <xf numFmtId="0" fontId="19" fillId="8" borderId="10" xfId="0" applyFont="1" applyFill="1" applyBorder="1"/>
    <xf numFmtId="0" fontId="18" fillId="8" borderId="10" xfId="0" applyFont="1" applyFill="1" applyBorder="1"/>
    <xf numFmtId="0" fontId="19" fillId="0" borderId="9" xfId="0" applyFont="1" applyBorder="1"/>
    <xf numFmtId="0" fontId="19" fillId="0" borderId="9" xfId="0" applyFont="1" applyFill="1" applyBorder="1"/>
    <xf numFmtId="0" fontId="19" fillId="0" borderId="10" xfId="0" applyFont="1" applyBorder="1" applyAlignment="1">
      <alignment wrapText="1"/>
    </xf>
    <xf numFmtId="0" fontId="19" fillId="0" borderId="10" xfId="0" applyFont="1" applyFill="1" applyBorder="1"/>
    <xf numFmtId="0" fontId="19" fillId="0" borderId="11" xfId="0" applyFont="1" applyFill="1" applyBorder="1"/>
    <xf numFmtId="1" fontId="18" fillId="0" borderId="0" xfId="0" applyNumberFormat="1" applyFont="1" applyFill="1"/>
    <xf numFmtId="2" fontId="19" fillId="0" borderId="0" xfId="0" applyNumberFormat="1" applyFont="1" applyFill="1"/>
    <xf numFmtId="0" fontId="18" fillId="8" borderId="12" xfId="0" applyFont="1" applyFill="1" applyBorder="1"/>
    <xf numFmtId="0" fontId="19" fillId="8" borderId="13" xfId="0" applyFont="1" applyFill="1" applyBorder="1"/>
    <xf numFmtId="0" fontId="19" fillId="8" borderId="13" xfId="0" applyFont="1" applyFill="1" applyBorder="1" applyAlignment="1">
      <alignment horizontal="left" wrapText="1"/>
    </xf>
    <xf numFmtId="1" fontId="19" fillId="8" borderId="14" xfId="0" applyNumberFormat="1" applyFont="1" applyFill="1" applyBorder="1"/>
    <xf numFmtId="0" fontId="23" fillId="6" borderId="10" xfId="0" applyFont="1" applyFill="1" applyBorder="1"/>
    <xf numFmtId="0" fontId="19" fillId="6" borderId="4" xfId="2" applyFont="1" applyFill="1" applyBorder="1" applyAlignment="1" applyProtection="1"/>
    <xf numFmtId="0" fontId="19" fillId="6" borderId="0" xfId="0" applyFont="1" applyFill="1" applyBorder="1" applyAlignment="1">
      <alignment horizontal="left" wrapText="1"/>
    </xf>
    <xf numFmtId="4" fontId="18" fillId="6" borderId="0" xfId="0" applyNumberFormat="1" applyFont="1" applyFill="1" applyBorder="1"/>
    <xf numFmtId="4" fontId="18" fillId="6" borderId="5" xfId="0" applyNumberFormat="1" applyFont="1" applyFill="1" applyBorder="1"/>
    <xf numFmtId="0" fontId="36" fillId="6" borderId="4" xfId="2" applyFont="1" applyFill="1" applyBorder="1" applyAlignment="1" applyProtection="1"/>
    <xf numFmtId="0" fontId="37" fillId="0" borderId="10" xfId="0" applyFont="1" applyBorder="1"/>
    <xf numFmtId="0" fontId="19" fillId="0" borderId="4" xfId="0" applyFont="1" applyFill="1" applyBorder="1"/>
    <xf numFmtId="0" fontId="38" fillId="0" borderId="0" xfId="2" applyFont="1" applyBorder="1" applyAlignment="1" applyProtection="1"/>
    <xf numFmtId="0" fontId="23" fillId="0" borderId="10" xfId="0" applyFont="1" applyBorder="1"/>
    <xf numFmtId="0" fontId="20" fillId="0" borderId="10" xfId="0" applyFont="1" applyBorder="1"/>
    <xf numFmtId="0" fontId="36" fillId="0" borderId="0" xfId="2" applyFont="1" applyFill="1" applyBorder="1" applyAlignment="1" applyProtection="1"/>
    <xf numFmtId="0" fontId="19" fillId="0" borderId="11" xfId="0" applyFont="1" applyBorder="1"/>
    <xf numFmtId="0" fontId="39" fillId="0" borderId="10" xfId="0" applyFont="1" applyBorder="1"/>
    <xf numFmtId="0" fontId="40" fillId="0" borderId="4" xfId="0" applyFont="1" applyBorder="1"/>
    <xf numFmtId="0" fontId="40" fillId="0" borderId="4" xfId="2" applyFont="1" applyFill="1" applyBorder="1" applyAlignment="1" applyProtection="1"/>
    <xf numFmtId="0" fontId="40" fillId="0" borderId="6" xfId="0" applyFont="1" applyBorder="1"/>
    <xf numFmtId="0" fontId="39" fillId="0" borderId="4" xfId="0" applyFont="1" applyBorder="1"/>
    <xf numFmtId="1" fontId="39" fillId="0" borderId="4" xfId="0" applyNumberFormat="1" applyFont="1" applyBorder="1"/>
    <xf numFmtId="2" fontId="39" fillId="0" borderId="6" xfId="0" applyNumberFormat="1" applyFont="1" applyFill="1" applyBorder="1"/>
    <xf numFmtId="0" fontId="6" fillId="0" borderId="4" xfId="2" applyFill="1" applyBorder="1" applyAlignment="1" applyProtection="1"/>
    <xf numFmtId="169" fontId="18" fillId="0" borderId="1" xfId="1" applyNumberFormat="1" applyFont="1" applyFill="1" applyBorder="1" applyAlignment="1">
      <alignment horizontal="right"/>
    </xf>
    <xf numFmtId="2" fontId="19" fillId="0" borderId="4" xfId="0" applyNumberFormat="1" applyFont="1" applyFill="1" applyBorder="1"/>
    <xf numFmtId="168" fontId="19" fillId="0" borderId="5" xfId="1" applyNumberFormat="1" applyFont="1" applyBorder="1"/>
    <xf numFmtId="165" fontId="43" fillId="0" borderId="10" xfId="0" applyNumberFormat="1" applyFont="1" applyBorder="1"/>
    <xf numFmtId="169" fontId="19" fillId="0" borderId="4" xfId="1" applyNumberFormat="1" applyFont="1" applyBorder="1"/>
    <xf numFmtId="169" fontId="39" fillId="0" borderId="4" xfId="1" applyNumberFormat="1" applyFont="1" applyFill="1" applyBorder="1"/>
    <xf numFmtId="0" fontId="44" fillId="0" borderId="0" xfId="0" applyFont="1" applyBorder="1"/>
    <xf numFmtId="165" fontId="43" fillId="0" borderId="10" xfId="0" applyNumberFormat="1" applyFont="1" applyFill="1" applyBorder="1"/>
    <xf numFmtId="2" fontId="19" fillId="0" borderId="4" xfId="0" applyNumberFormat="1" applyFont="1" applyBorder="1"/>
    <xf numFmtId="1" fontId="19" fillId="0" borderId="0" xfId="0" applyNumberFormat="1" applyFont="1" applyFill="1" applyBorder="1"/>
    <xf numFmtId="0" fontId="46" fillId="0" borderId="0" xfId="0" applyFont="1" applyFill="1" applyBorder="1"/>
    <xf numFmtId="0" fontId="19" fillId="6" borderId="10" xfId="0" applyFont="1" applyFill="1" applyBorder="1"/>
    <xf numFmtId="168" fontId="19" fillId="6" borderId="5" xfId="1" applyNumberFormat="1" applyFont="1" applyFill="1" applyBorder="1"/>
    <xf numFmtId="165" fontId="19" fillId="0" borderId="10" xfId="0" applyNumberFormat="1" applyFont="1" applyBorder="1" applyAlignment="1">
      <alignment horizontal="right"/>
    </xf>
    <xf numFmtId="169" fontId="39" fillId="0" borderId="6" xfId="1" applyNumberFormat="1" applyFont="1" applyFill="1" applyBorder="1"/>
    <xf numFmtId="2" fontId="19" fillId="0" borderId="6" xfId="0" applyNumberFormat="1" applyFont="1" applyFill="1" applyBorder="1"/>
    <xf numFmtId="168" fontId="19" fillId="0" borderId="8" xfId="1" applyNumberFormat="1" applyFont="1" applyBorder="1"/>
    <xf numFmtId="0" fontId="19" fillId="0" borderId="11" xfId="0" applyFont="1" applyBorder="1" applyAlignment="1">
      <alignment horizontal="right"/>
    </xf>
    <xf numFmtId="0" fontId="19" fillId="10" borderId="13" xfId="0" applyFont="1" applyFill="1" applyBorder="1"/>
    <xf numFmtId="0" fontId="19" fillId="10" borderId="14" xfId="0" applyFont="1" applyFill="1" applyBorder="1"/>
    <xf numFmtId="0" fontId="41" fillId="0" borderId="9" xfId="0" applyFont="1" applyFill="1" applyBorder="1"/>
    <xf numFmtId="0" fontId="19" fillId="0" borderId="1" xfId="0" applyFont="1" applyFill="1" applyBorder="1"/>
    <xf numFmtId="0" fontId="19" fillId="0" borderId="2" xfId="0" applyFont="1" applyFill="1" applyBorder="1"/>
    <xf numFmtId="0" fontId="19" fillId="0" borderId="3" xfId="0" applyFont="1" applyBorder="1"/>
    <xf numFmtId="0" fontId="6" fillId="0" borderId="4" xfId="2" applyFont="1" applyFill="1" applyBorder="1" applyAlignment="1" applyProtection="1"/>
    <xf numFmtId="0" fontId="19" fillId="0" borderId="0" xfId="0" applyFont="1" applyFill="1" applyBorder="1" applyAlignment="1">
      <alignment wrapText="1"/>
    </xf>
    <xf numFmtId="0" fontId="19" fillId="0" borderId="4" xfId="0" applyFont="1" applyFill="1" applyBorder="1" applyAlignment="1">
      <alignment wrapText="1"/>
    </xf>
    <xf numFmtId="0" fontId="45" fillId="0" borderId="10" xfId="0" applyFont="1" applyFill="1" applyBorder="1"/>
    <xf numFmtId="0" fontId="6" fillId="0" borderId="4" xfId="2" applyFont="1" applyFill="1" applyBorder="1" applyAlignment="1" applyProtection="1">
      <alignment horizontal="left" vertical="top"/>
    </xf>
    <xf numFmtId="0" fontId="19" fillId="0" borderId="0" xfId="0" applyFont="1" applyFill="1" applyBorder="1" applyAlignment="1">
      <alignment horizontal="left" vertical="top" wrapText="1"/>
    </xf>
    <xf numFmtId="0" fontId="19" fillId="0" borderId="4" xfId="0" applyFont="1" applyFill="1" applyBorder="1" applyAlignment="1">
      <alignment horizontal="left" vertical="top" wrapText="1"/>
    </xf>
    <xf numFmtId="0" fontId="35" fillId="0" borderId="10" xfId="0" applyFont="1" applyFill="1" applyBorder="1"/>
    <xf numFmtId="0" fontId="42" fillId="0" borderId="10" xfId="0" applyFont="1" applyFill="1" applyBorder="1"/>
    <xf numFmtId="0" fontId="43" fillId="0" borderId="10" xfId="0" applyFont="1" applyFill="1" applyBorder="1"/>
    <xf numFmtId="0" fontId="19" fillId="0" borderId="6" xfId="0" applyFont="1" applyFill="1" applyBorder="1"/>
    <xf numFmtId="0" fontId="19" fillId="0" borderId="7" xfId="0" applyFont="1" applyFill="1" applyBorder="1"/>
    <xf numFmtId="169" fontId="19" fillId="0" borderId="5" xfId="1" applyNumberFormat="1" applyFont="1" applyBorder="1"/>
    <xf numFmtId="0" fontId="19" fillId="0" borderId="5" xfId="0" applyFont="1" applyFill="1" applyBorder="1"/>
    <xf numFmtId="169" fontId="37" fillId="0" borderId="4" xfId="1" applyNumberFormat="1" applyFont="1" applyBorder="1"/>
    <xf numFmtId="165" fontId="19" fillId="0" borderId="0" xfId="0" applyNumberFormat="1" applyFont="1" applyBorder="1"/>
    <xf numFmtId="169" fontId="19" fillId="0" borderId="0" xfId="1" applyNumberFormat="1" applyFont="1" applyBorder="1"/>
    <xf numFmtId="0" fontId="46" fillId="0" borderId="4" xfId="0" applyFont="1" applyBorder="1"/>
    <xf numFmtId="9" fontId="19" fillId="0" borderId="10" xfId="0" applyNumberFormat="1" applyFont="1" applyBorder="1"/>
    <xf numFmtId="165" fontId="48" fillId="0" borderId="0" xfId="0" applyNumberFormat="1" applyFont="1" applyBorder="1"/>
    <xf numFmtId="165" fontId="18" fillId="0" borderId="0" xfId="0" applyNumberFormat="1" applyFont="1" applyBorder="1"/>
    <xf numFmtId="169" fontId="37" fillId="0" borderId="5" xfId="1" applyNumberFormat="1" applyFont="1" applyBorder="1"/>
    <xf numFmtId="169" fontId="49" fillId="0" borderId="4" xfId="1" applyNumberFormat="1" applyFont="1" applyBorder="1"/>
    <xf numFmtId="169" fontId="20" fillId="0" borderId="4" xfId="1" applyNumberFormat="1" applyFont="1" applyBorder="1"/>
    <xf numFmtId="169" fontId="50" fillId="0" borderId="4" xfId="1" applyNumberFormat="1" applyFont="1" applyBorder="1"/>
    <xf numFmtId="169" fontId="51" fillId="0" borderId="4" xfId="1" applyNumberFormat="1" applyFont="1" applyBorder="1"/>
    <xf numFmtId="169" fontId="52" fillId="0" borderId="4" xfId="1" applyNumberFormat="1" applyFont="1" applyBorder="1"/>
    <xf numFmtId="169" fontId="53" fillId="0" borderId="4" xfId="1" applyNumberFormat="1" applyFont="1" applyFill="1" applyBorder="1"/>
    <xf numFmtId="0" fontId="22" fillId="0" borderId="4" xfId="0" applyFont="1" applyBorder="1"/>
    <xf numFmtId="1" fontId="18" fillId="0" borderId="0" xfId="0" applyNumberFormat="1" applyFont="1" applyBorder="1"/>
    <xf numFmtId="0" fontId="19" fillId="0" borderId="4" xfId="0" applyFont="1" applyFill="1" applyBorder="1" applyAlignment="1">
      <alignment horizontal="right"/>
    </xf>
    <xf numFmtId="169" fontId="54" fillId="0" borderId="4" xfId="1" applyNumberFormat="1" applyFont="1" applyFill="1" applyBorder="1"/>
    <xf numFmtId="169" fontId="19" fillId="0" borderId="0" xfId="1" applyNumberFormat="1" applyFont="1" applyFill="1" applyBorder="1"/>
    <xf numFmtId="169" fontId="55" fillId="0" borderId="4" xfId="1" applyNumberFormat="1" applyFont="1" applyFill="1" applyBorder="1"/>
    <xf numFmtId="0" fontId="19" fillId="6" borderId="0" xfId="0" applyFont="1" applyFill="1"/>
    <xf numFmtId="169" fontId="19" fillId="0" borderId="7" xfId="1" applyNumberFormat="1" applyFont="1" applyFill="1" applyBorder="1"/>
    <xf numFmtId="9" fontId="19" fillId="0" borderId="11" xfId="0" applyNumberFormat="1" applyFont="1" applyBorder="1"/>
    <xf numFmtId="169" fontId="56" fillId="0" borderId="0" xfId="0" applyNumberFormat="1" applyFont="1" applyFill="1" applyBorder="1"/>
    <xf numFmtId="0" fontId="19" fillId="8" borderId="12" xfId="0" applyFont="1" applyFill="1" applyBorder="1"/>
    <xf numFmtId="0" fontId="19" fillId="8" borderId="14" xfId="0" applyFont="1" applyFill="1" applyBorder="1"/>
    <xf numFmtId="0" fontId="37" fillId="0" borderId="4" xfId="0" applyFont="1" applyBorder="1"/>
    <xf numFmtId="0" fontId="36" fillId="0" borderId="4" xfId="2" applyFont="1" applyBorder="1" applyAlignment="1" applyProtection="1"/>
    <xf numFmtId="0" fontId="49" fillId="0" borderId="4" xfId="0" applyFont="1" applyBorder="1"/>
    <xf numFmtId="0" fontId="44" fillId="0" borderId="4" xfId="0" applyFont="1" applyBorder="1"/>
    <xf numFmtId="0" fontId="50" fillId="0" borderId="4" xfId="0" applyFont="1" applyBorder="1"/>
    <xf numFmtId="0" fontId="52" fillId="0" borderId="4" xfId="0" applyFont="1" applyBorder="1"/>
    <xf numFmtId="0" fontId="51" fillId="0" borderId="4" xfId="0" applyFont="1" applyBorder="1"/>
    <xf numFmtId="0" fontId="53" fillId="0" borderId="4" xfId="0" applyFont="1" applyBorder="1"/>
    <xf numFmtId="0" fontId="36" fillId="0" borderId="4" xfId="2" applyFont="1" applyFill="1" applyBorder="1" applyAlignment="1" applyProtection="1"/>
    <xf numFmtId="0" fontId="57" fillId="0" borderId="4" xfId="0" applyFont="1" applyBorder="1"/>
    <xf numFmtId="0" fontId="19" fillId="8" borderId="11" xfId="0" applyFont="1" applyFill="1" applyBorder="1"/>
    <xf numFmtId="0" fontId="22" fillId="0" borderId="4" xfId="0" applyFont="1" applyFill="1" applyBorder="1"/>
    <xf numFmtId="0" fontId="58" fillId="0" borderId="4" xfId="0" applyFont="1" applyFill="1" applyBorder="1"/>
    <xf numFmtId="0" fontId="59" fillId="0" borderId="0" xfId="0" applyFont="1" applyFill="1" applyBorder="1"/>
    <xf numFmtId="2" fontId="19" fillId="0" borderId="5" xfId="0" applyNumberFormat="1" applyFont="1" applyBorder="1"/>
    <xf numFmtId="165" fontId="19" fillId="0" borderId="5" xfId="0" applyNumberFormat="1" applyFont="1" applyBorder="1"/>
    <xf numFmtId="165" fontId="19" fillId="0" borderId="5" xfId="0" applyNumberFormat="1" applyFont="1" applyFill="1" applyBorder="1"/>
    <xf numFmtId="9" fontId="46" fillId="0" borderId="4" xfId="4" applyFont="1" applyBorder="1"/>
    <xf numFmtId="9" fontId="47" fillId="0" borderId="4" xfId="4" applyFont="1" applyBorder="1"/>
    <xf numFmtId="9" fontId="19" fillId="0" borderId="4" xfId="4" applyFont="1" applyBorder="1"/>
    <xf numFmtId="9" fontId="22" fillId="0" borderId="4" xfId="4" applyFont="1" applyBorder="1"/>
    <xf numFmtId="9" fontId="47" fillId="0" borderId="4" xfId="4" applyFont="1" applyFill="1" applyBorder="1"/>
    <xf numFmtId="9" fontId="19" fillId="0" borderId="4" xfId="4" applyFont="1" applyFill="1" applyBorder="1"/>
    <xf numFmtId="9" fontId="19" fillId="0" borderId="6" xfId="4" applyFont="1" applyFill="1" applyBorder="1"/>
    <xf numFmtId="165" fontId="19" fillId="0" borderId="8" xfId="0" applyNumberFormat="1" applyFont="1" applyFill="1" applyBorder="1"/>
    <xf numFmtId="9" fontId="45" fillId="0" borderId="4" xfId="4" applyFont="1" applyFill="1" applyBorder="1"/>
    <xf numFmtId="9" fontId="19" fillId="0" borderId="4" xfId="4" applyFont="1" applyBorder="1" applyAlignment="1">
      <alignment horizontal="right"/>
    </xf>
    <xf numFmtId="9" fontId="19" fillId="6" borderId="4" xfId="4" applyFont="1" applyFill="1" applyBorder="1"/>
    <xf numFmtId="9" fontId="35" fillId="0" borderId="4" xfId="4" applyFont="1" applyFill="1" applyBorder="1"/>
    <xf numFmtId="0" fontId="19" fillId="0" borderId="1" xfId="0" applyFont="1" applyBorder="1"/>
    <xf numFmtId="0" fontId="57" fillId="0" borderId="6" xfId="0" applyFont="1" applyBorder="1"/>
    <xf numFmtId="0" fontId="19" fillId="8" borderId="1" xfId="0" applyFont="1" applyFill="1" applyBorder="1"/>
    <xf numFmtId="0" fontId="19" fillId="8" borderId="3" xfId="0" applyFont="1" applyFill="1" applyBorder="1"/>
    <xf numFmtId="0" fontId="19" fillId="8" borderId="2" xfId="0" applyFont="1" applyFill="1" applyBorder="1"/>
    <xf numFmtId="0" fontId="19" fillId="8" borderId="4" xfId="0" applyFont="1" applyFill="1" applyBorder="1"/>
    <xf numFmtId="0" fontId="19" fillId="8" borderId="5" xfId="0" applyFont="1" applyFill="1" applyBorder="1"/>
    <xf numFmtId="0" fontId="19" fillId="8" borderId="0" xfId="0" applyFont="1" applyFill="1" applyBorder="1"/>
    <xf numFmtId="0" fontId="19" fillId="8" borderId="6" xfId="0" applyFont="1" applyFill="1" applyBorder="1"/>
    <xf numFmtId="0" fontId="19" fillId="8" borderId="8" xfId="0" applyFont="1" applyFill="1" applyBorder="1"/>
    <xf numFmtId="0" fontId="19" fillId="8" borderId="7" xfId="0" applyFont="1" applyFill="1" applyBorder="1"/>
    <xf numFmtId="164" fontId="19" fillId="0" borderId="4" xfId="0" applyNumberFormat="1" applyFont="1" applyBorder="1"/>
    <xf numFmtId="164" fontId="19" fillId="0" borderId="6" xfId="0" applyNumberFormat="1" applyFont="1" applyBorder="1"/>
    <xf numFmtId="2" fontId="19" fillId="0" borderId="8" xfId="0" applyNumberFormat="1" applyFont="1" applyBorder="1"/>
    <xf numFmtId="0" fontId="18" fillId="8" borderId="13" xfId="0" applyFont="1" applyFill="1" applyBorder="1"/>
    <xf numFmtId="0" fontId="44" fillId="0" borderId="9" xfId="0" applyFont="1" applyBorder="1"/>
    <xf numFmtId="0" fontId="60" fillId="0" borderId="9" xfId="0" applyFont="1" applyBorder="1"/>
    <xf numFmtId="0" fontId="19" fillId="10" borderId="12" xfId="0" applyFont="1" applyFill="1" applyBorder="1"/>
    <xf numFmtId="0" fontId="61" fillId="0" borderId="10" xfId="0" applyFont="1" applyBorder="1"/>
    <xf numFmtId="0" fontId="18" fillId="8" borderId="14" xfId="0" applyFont="1" applyFill="1" applyBorder="1"/>
    <xf numFmtId="169" fontId="56" fillId="0" borderId="5" xfId="0" applyNumberFormat="1" applyFont="1" applyFill="1" applyBorder="1"/>
    <xf numFmtId="0" fontId="19" fillId="0" borderId="0" xfId="2" applyFont="1" applyFill="1" applyBorder="1" applyAlignment="1" applyProtection="1"/>
    <xf numFmtId="0" fontId="40" fillId="0" borderId="0" xfId="2" applyFont="1" applyFill="1" applyBorder="1" applyAlignment="1" applyProtection="1"/>
    <xf numFmtId="0" fontId="57" fillId="0" borderId="10" xfId="0" applyFont="1" applyBorder="1"/>
    <xf numFmtId="0" fontId="18" fillId="0" borderId="11" xfId="0" applyFont="1" applyBorder="1"/>
    <xf numFmtId="170" fontId="42" fillId="0" borderId="0" xfId="0" applyNumberFormat="1" applyFont="1" applyFill="1" applyBorder="1"/>
    <xf numFmtId="170" fontId="42" fillId="0" borderId="7" xfId="0" applyNumberFormat="1" applyFont="1" applyFill="1" applyBorder="1"/>
    <xf numFmtId="0" fontId="62" fillId="0" borderId="10" xfId="0" applyFont="1" applyBorder="1"/>
    <xf numFmtId="164" fontId="44" fillId="0" borderId="4" xfId="0" applyNumberFormat="1" applyFont="1" applyBorder="1"/>
    <xf numFmtId="164" fontId="63" fillId="0" borderId="0" xfId="0" applyNumberFormat="1" applyFont="1" applyBorder="1"/>
    <xf numFmtId="164" fontId="19" fillId="0" borderId="1" xfId="0" applyNumberFormat="1" applyFont="1" applyBorder="1"/>
    <xf numFmtId="2" fontId="19" fillId="0" borderId="1" xfId="0" applyNumberFormat="1" applyFont="1" applyBorder="1"/>
    <xf numFmtId="164" fontId="42" fillId="0" borderId="4" xfId="0" applyNumberFormat="1" applyFont="1" applyBorder="1"/>
    <xf numFmtId="164" fontId="39" fillId="0" borderId="4" xfId="0" applyNumberFormat="1" applyFont="1" applyBorder="1"/>
    <xf numFmtId="164" fontId="39" fillId="0" borderId="0" xfId="0" applyNumberFormat="1" applyFont="1" applyBorder="1"/>
    <xf numFmtId="164" fontId="39" fillId="0" borderId="4" xfId="0" applyNumberFormat="1" applyFont="1" applyFill="1" applyBorder="1"/>
    <xf numFmtId="164" fontId="39" fillId="0" borderId="0" xfId="0" applyNumberFormat="1" applyFont="1" applyFill="1" applyBorder="1"/>
    <xf numFmtId="164" fontId="23" fillId="0" borderId="4" xfId="0" applyNumberFormat="1" applyFont="1" applyBorder="1"/>
    <xf numFmtId="164" fontId="19" fillId="0" borderId="4" xfId="0" applyNumberFormat="1" applyFont="1" applyFill="1" applyBorder="1"/>
    <xf numFmtId="164" fontId="19" fillId="0" borderId="7" xfId="0" applyNumberFormat="1" applyFont="1" applyFill="1" applyBorder="1"/>
    <xf numFmtId="164" fontId="64" fillId="0" borderId="0" xfId="0" applyNumberFormat="1" applyFont="1" applyBorder="1"/>
    <xf numFmtId="0" fontId="19" fillId="0" borderId="0" xfId="0" applyFont="1" applyFill="1" applyAlignment="1">
      <alignment vertical="top"/>
    </xf>
    <xf numFmtId="0" fontId="19" fillId="6" borderId="0" xfId="0" applyFont="1" applyFill="1" applyAlignment="1">
      <alignment vertical="top" wrapText="1"/>
    </xf>
    <xf numFmtId="0" fontId="63" fillId="0" borderId="10" xfId="0" applyFont="1" applyBorder="1"/>
    <xf numFmtId="0" fontId="19" fillId="0" borderId="0" xfId="0" applyFont="1" applyAlignment="1">
      <alignment horizontal="left"/>
    </xf>
    <xf numFmtId="0" fontId="39" fillId="0" borderId="10" xfId="0" applyFont="1" applyFill="1" applyBorder="1"/>
    <xf numFmtId="0" fontId="22" fillId="0" borderId="10" xfId="0" applyFont="1" applyBorder="1"/>
    <xf numFmtId="0" fontId="65" fillId="0" borderId="10" xfId="0" applyFont="1" applyFill="1" applyBorder="1"/>
    <xf numFmtId="164" fontId="20" fillId="0" borderId="0" xfId="0" applyNumberFormat="1" applyFont="1" applyBorder="1"/>
    <xf numFmtId="164" fontId="51" fillId="0" borderId="0" xfId="0" applyNumberFormat="1" applyFont="1" applyBorder="1"/>
    <xf numFmtId="0" fontId="19" fillId="0" borderId="0" xfId="0" applyFont="1" applyFill="1" applyBorder="1" applyAlignment="1">
      <alignment vertical="top" wrapText="1"/>
    </xf>
    <xf numFmtId="164" fontId="44" fillId="0" borderId="2" xfId="0" applyNumberFormat="1" applyFont="1" applyBorder="1"/>
    <xf numFmtId="164" fontId="19" fillId="0" borderId="2" xfId="0" applyNumberFormat="1" applyFont="1" applyBorder="1"/>
    <xf numFmtId="164" fontId="44" fillId="0" borderId="0" xfId="0" applyNumberFormat="1" applyFont="1" applyBorder="1"/>
    <xf numFmtId="0" fontId="46" fillId="0" borderId="10" xfId="0" applyFont="1" applyBorder="1"/>
    <xf numFmtId="164" fontId="19" fillId="0" borderId="10" xfId="0" applyNumberFormat="1" applyFont="1" applyFill="1" applyBorder="1"/>
    <xf numFmtId="2" fontId="19" fillId="0" borderId="0" xfId="0" applyNumberFormat="1" applyFont="1" applyBorder="1"/>
    <xf numFmtId="2" fontId="19" fillId="0" borderId="2" xfId="0" applyNumberFormat="1" applyFont="1" applyFill="1" applyBorder="1"/>
    <xf numFmtId="2" fontId="19" fillId="0" borderId="6" xfId="0" applyNumberFormat="1" applyFont="1" applyBorder="1"/>
    <xf numFmtId="2" fontId="19" fillId="0" borderId="7" xfId="0" applyNumberFormat="1" applyFont="1" applyBorder="1"/>
    <xf numFmtId="0" fontId="46" fillId="0" borderId="9" xfId="0" applyFont="1" applyBorder="1"/>
    <xf numFmtId="0" fontId="57" fillId="0" borderId="11" xfId="0" applyFont="1" applyBorder="1"/>
    <xf numFmtId="0" fontId="40" fillId="0" borderId="6" xfId="2" applyFont="1" applyFill="1" applyBorder="1" applyAlignment="1" applyProtection="1"/>
    <xf numFmtId="164" fontId="19" fillId="0" borderId="0" xfId="0" applyNumberFormat="1" applyFont="1"/>
    <xf numFmtId="164" fontId="19" fillId="0" borderId="9" xfId="0" applyNumberFormat="1" applyFont="1" applyFill="1" applyBorder="1"/>
    <xf numFmtId="2" fontId="19" fillId="0" borderId="1" xfId="0" applyNumberFormat="1" applyFont="1" applyFill="1" applyBorder="1"/>
    <xf numFmtId="0" fontId="44" fillId="0" borderId="10" xfId="0" applyFont="1" applyFill="1" applyBorder="1"/>
    <xf numFmtId="0" fontId="19" fillId="0" borderId="0" xfId="0" applyFont="1" applyFill="1" applyBorder="1" applyAlignment="1">
      <alignment horizontal="right"/>
    </xf>
    <xf numFmtId="164" fontId="19" fillId="0" borderId="0" xfId="0" applyNumberFormat="1" applyFont="1" applyFill="1"/>
    <xf numFmtId="164" fontId="19" fillId="0" borderId="11" xfId="0" applyNumberFormat="1" applyFont="1" applyFill="1" applyBorder="1"/>
    <xf numFmtId="0" fontId="44" fillId="0" borderId="11" xfId="0" applyFont="1" applyFill="1" applyBorder="1"/>
    <xf numFmtId="1" fontId="20" fillId="0" borderId="0" xfId="0" applyNumberFormat="1" applyFont="1" applyBorder="1"/>
    <xf numFmtId="0" fontId="65" fillId="0" borderId="9" xfId="0" applyFont="1" applyBorder="1"/>
    <xf numFmtId="0" fontId="66" fillId="0" borderId="10" xfId="0" applyFont="1" applyBorder="1"/>
    <xf numFmtId="0" fontId="67" fillId="0" borderId="10" xfId="0" applyFont="1" applyBorder="1"/>
    <xf numFmtId="0" fontId="44" fillId="0" borderId="11" xfId="0" applyFont="1" applyBorder="1"/>
    <xf numFmtId="0" fontId="18" fillId="9" borderId="1" xfId="0" applyFont="1" applyFill="1" applyBorder="1"/>
    <xf numFmtId="0" fontId="48" fillId="9" borderId="9" xfId="0" applyFont="1" applyFill="1" applyBorder="1"/>
    <xf numFmtId="2" fontId="48" fillId="9" borderId="1" xfId="0" applyNumberFormat="1" applyFont="1" applyFill="1" applyBorder="1" applyAlignment="1">
      <alignment vertical="top"/>
    </xf>
    <xf numFmtId="0" fontId="18" fillId="9" borderId="4" xfId="0" applyFont="1" applyFill="1" applyBorder="1"/>
    <xf numFmtId="0" fontId="18" fillId="9" borderId="0" xfId="0" applyFont="1" applyFill="1" applyBorder="1"/>
    <xf numFmtId="0" fontId="48" fillId="9" borderId="10" xfId="0" applyFont="1" applyFill="1" applyBorder="1"/>
    <xf numFmtId="2" fontId="48" fillId="9" borderId="4" xfId="0" applyNumberFormat="1" applyFont="1" applyFill="1" applyBorder="1" applyAlignment="1">
      <alignment vertical="top"/>
    </xf>
    <xf numFmtId="0" fontId="47" fillId="9" borderId="11" xfId="0" applyFont="1" applyFill="1" applyBorder="1"/>
    <xf numFmtId="2" fontId="47" fillId="9" borderId="6" xfId="0" applyNumberFormat="1" applyFont="1" applyFill="1" applyBorder="1" applyAlignment="1">
      <alignment vertical="top"/>
    </xf>
    <xf numFmtId="0" fontId="18" fillId="0" borderId="10" xfId="0" applyFont="1" applyBorder="1"/>
    <xf numFmtId="43" fontId="19" fillId="0" borderId="1" xfId="1" applyFont="1" applyFill="1" applyBorder="1"/>
    <xf numFmtId="43" fontId="19" fillId="0" borderId="2" xfId="1" applyFont="1" applyFill="1" applyBorder="1"/>
    <xf numFmtId="43" fontId="19" fillId="0" borderId="2" xfId="1" applyFont="1" applyBorder="1"/>
    <xf numFmtId="43" fontId="19" fillId="0" borderId="3" xfId="1" applyFont="1" applyBorder="1"/>
    <xf numFmtId="43" fontId="19" fillId="0" borderId="0" xfId="1" applyFont="1"/>
    <xf numFmtId="43" fontId="19" fillId="0" borderId="5" xfId="1" applyFont="1" applyFill="1" applyBorder="1"/>
    <xf numFmtId="0" fontId="18" fillId="0" borderId="10" xfId="0" applyFont="1" applyFill="1" applyBorder="1"/>
    <xf numFmtId="0" fontId="18" fillId="6" borderId="10" xfId="0" applyFont="1" applyFill="1" applyBorder="1"/>
    <xf numFmtId="0" fontId="18" fillId="6" borderId="11" xfId="0" applyFont="1" applyFill="1" applyBorder="1"/>
    <xf numFmtId="43" fontId="19" fillId="0" borderId="8" xfId="1" applyFont="1" applyBorder="1"/>
    <xf numFmtId="43" fontId="19" fillId="0" borderId="1" xfId="1" quotePrefix="1" applyFont="1" applyFill="1" applyBorder="1"/>
    <xf numFmtId="43" fontId="19" fillId="3" borderId="7" xfId="1" applyFont="1" applyFill="1" applyBorder="1"/>
    <xf numFmtId="43" fontId="19" fillId="0" borderId="7" xfId="1" applyFont="1" applyBorder="1"/>
    <xf numFmtId="3" fontId="23" fillId="0" borderId="4" xfId="0" applyNumberFormat="1" applyFont="1" applyFill="1" applyBorder="1"/>
    <xf numFmtId="3" fontId="23" fillId="0" borderId="0" xfId="0" applyNumberFormat="1" applyFont="1" applyFill="1" applyBorder="1"/>
    <xf numFmtId="3" fontId="19" fillId="0" borderId="0" xfId="0" applyNumberFormat="1" applyFont="1" applyFill="1" applyBorder="1"/>
    <xf numFmtId="3" fontId="23" fillId="0" borderId="6" xfId="0" applyNumberFormat="1" applyFont="1" applyFill="1" applyBorder="1"/>
    <xf numFmtId="3" fontId="23" fillId="0" borderId="7" xfId="0" applyNumberFormat="1" applyFont="1" applyFill="1" applyBorder="1"/>
    <xf numFmtId="3" fontId="19" fillId="0" borderId="7" xfId="0" applyNumberFormat="1" applyFont="1" applyFill="1" applyBorder="1"/>
    <xf numFmtId="1" fontId="39" fillId="0" borderId="0" xfId="0" applyNumberFormat="1" applyFont="1" applyFill="1" applyBorder="1"/>
    <xf numFmtId="1" fontId="19" fillId="0" borderId="7" xfId="0" applyNumberFormat="1" applyFont="1" applyBorder="1"/>
    <xf numFmtId="1" fontId="39" fillId="0" borderId="7" xfId="0" applyNumberFormat="1" applyFont="1" applyFill="1" applyBorder="1"/>
    <xf numFmtId="1" fontId="46" fillId="0" borderId="0" xfId="0" applyNumberFormat="1" applyFont="1" applyBorder="1"/>
    <xf numFmtId="165" fontId="19" fillId="0" borderId="1" xfId="0" applyNumberFormat="1" applyFont="1" applyBorder="1"/>
    <xf numFmtId="165" fontId="19" fillId="0" borderId="4" xfId="0" applyNumberFormat="1" applyFont="1" applyBorder="1"/>
    <xf numFmtId="165" fontId="37" fillId="0" borderId="4" xfId="0" applyNumberFormat="1" applyFont="1" applyBorder="1"/>
    <xf numFmtId="165" fontId="37" fillId="0" borderId="4" xfId="0" applyNumberFormat="1" applyFont="1" applyFill="1" applyBorder="1"/>
    <xf numFmtId="165" fontId="19" fillId="0" borderId="4" xfId="0" applyNumberFormat="1" applyFont="1" applyFill="1" applyBorder="1"/>
    <xf numFmtId="165" fontId="19" fillId="0" borderId="6" xfId="0" applyNumberFormat="1" applyFont="1" applyBorder="1"/>
    <xf numFmtId="1" fontId="19" fillId="0" borderId="2" xfId="0" applyNumberFormat="1" applyFont="1" applyFill="1" applyBorder="1" applyAlignment="1">
      <alignment horizontal="center"/>
    </xf>
    <xf numFmtId="0" fontId="19" fillId="0" borderId="2" xfId="0" applyFont="1" applyFill="1" applyBorder="1" applyAlignment="1">
      <alignment horizontal="center"/>
    </xf>
    <xf numFmtId="1" fontId="19" fillId="0" borderId="0" xfId="0" applyNumberFormat="1" applyFont="1" applyFill="1" applyBorder="1" applyAlignment="1">
      <alignment horizontal="center"/>
    </xf>
    <xf numFmtId="164" fontId="23" fillId="0" borderId="0" xfId="0" applyNumberFormat="1" applyFont="1" applyFill="1" applyBorder="1" applyAlignment="1">
      <alignment horizontal="center"/>
    </xf>
    <xf numFmtId="1" fontId="65" fillId="0" borderId="0" xfId="0" applyNumberFormat="1" applyFont="1" applyFill="1" applyBorder="1" applyAlignment="1">
      <alignment horizontal="center"/>
    </xf>
    <xf numFmtId="164" fontId="66" fillId="0" borderId="0" xfId="0" applyNumberFormat="1" applyFont="1" applyFill="1" applyBorder="1" applyAlignment="1">
      <alignment horizontal="center"/>
    </xf>
    <xf numFmtId="2" fontId="67" fillId="0" borderId="0" xfId="1" applyNumberFormat="1" applyFont="1" applyFill="1" applyBorder="1" applyAlignment="1">
      <alignment horizontal="center"/>
    </xf>
    <xf numFmtId="164" fontId="19" fillId="0" borderId="0" xfId="0" applyNumberFormat="1" applyFont="1" applyFill="1" applyBorder="1" applyAlignment="1">
      <alignment horizontal="center"/>
    </xf>
    <xf numFmtId="2" fontId="67" fillId="0" borderId="7" xfId="0" applyNumberFormat="1" applyFont="1" applyFill="1" applyBorder="1" applyAlignment="1">
      <alignment horizontal="center"/>
    </xf>
    <xf numFmtId="164" fontId="23" fillId="0" borderId="7" xfId="0" applyNumberFormat="1" applyFont="1" applyFill="1" applyBorder="1" applyAlignment="1">
      <alignment horizontal="center"/>
    </xf>
    <xf numFmtId="0" fontId="19" fillId="11" borderId="15" xfId="0" applyFont="1" applyFill="1" applyBorder="1"/>
    <xf numFmtId="0" fontId="19" fillId="12" borderId="15" xfId="0" applyFont="1" applyFill="1" applyBorder="1"/>
    <xf numFmtId="3" fontId="19" fillId="11" borderId="4" xfId="0" applyNumberFormat="1" applyFont="1" applyFill="1" applyBorder="1"/>
    <xf numFmtId="3" fontId="35" fillId="11" borderId="4" xfId="0" applyNumberFormat="1" applyFont="1" applyFill="1" applyBorder="1"/>
    <xf numFmtId="3" fontId="35" fillId="11" borderId="6" xfId="0" applyNumberFormat="1" applyFont="1" applyFill="1" applyBorder="1"/>
    <xf numFmtId="4" fontId="20" fillId="11" borderId="10" xfId="0" applyNumberFormat="1" applyFont="1" applyFill="1" applyBorder="1"/>
    <xf numFmtId="2" fontId="35" fillId="11" borderId="10" xfId="0" applyNumberFormat="1" applyFont="1" applyFill="1" applyBorder="1"/>
    <xf numFmtId="2" fontId="35" fillId="11" borderId="11" xfId="0" applyNumberFormat="1" applyFont="1" applyFill="1" applyBorder="1"/>
    <xf numFmtId="165" fontId="42" fillId="11" borderId="0" xfId="0" applyNumberFormat="1" applyFont="1" applyFill="1" applyBorder="1"/>
    <xf numFmtId="165" fontId="42" fillId="11" borderId="0" xfId="0" applyNumberFormat="1" applyFont="1" applyFill="1" applyBorder="1" applyAlignment="1">
      <alignment horizontal="right"/>
    </xf>
    <xf numFmtId="165" fontId="42" fillId="11" borderId="7" xfId="0" applyNumberFormat="1" applyFont="1" applyFill="1" applyBorder="1" applyAlignment="1">
      <alignment horizontal="right"/>
    </xf>
    <xf numFmtId="169" fontId="41" fillId="11" borderId="2" xfId="1" applyNumberFormat="1" applyFont="1" applyFill="1" applyBorder="1"/>
    <xf numFmtId="169" fontId="41" fillId="11" borderId="0" xfId="1" applyNumberFormat="1" applyFont="1" applyFill="1" applyBorder="1"/>
    <xf numFmtId="169" fontId="39" fillId="11" borderId="0" xfId="1" applyNumberFormat="1" applyFont="1" applyFill="1" applyBorder="1"/>
    <xf numFmtId="169" fontId="39" fillId="11" borderId="0" xfId="1" applyNumberFormat="1" applyFont="1" applyFill="1" applyBorder="1" applyAlignment="1">
      <alignment horizontal="right"/>
    </xf>
    <xf numFmtId="169" fontId="39" fillId="11" borderId="7" xfId="1" applyNumberFormat="1" applyFont="1" applyFill="1" applyBorder="1"/>
    <xf numFmtId="169" fontId="19" fillId="11" borderId="0" xfId="1" applyNumberFormat="1" applyFont="1" applyFill="1" applyBorder="1"/>
    <xf numFmtId="169" fontId="58" fillId="11" borderId="0" xfId="1" applyNumberFormat="1" applyFont="1" applyFill="1" applyBorder="1"/>
    <xf numFmtId="169" fontId="58" fillId="11" borderId="0" xfId="0" applyNumberFormat="1" applyFont="1" applyFill="1" applyBorder="1"/>
    <xf numFmtId="169" fontId="58" fillId="11" borderId="7" xfId="1" applyNumberFormat="1" applyFont="1" applyFill="1" applyBorder="1"/>
    <xf numFmtId="2" fontId="42" fillId="11" borderId="5" xfId="0" applyNumberFormat="1" applyFont="1" applyFill="1" applyBorder="1"/>
    <xf numFmtId="2" fontId="42" fillId="11" borderId="8" xfId="0" applyNumberFormat="1" applyFont="1" applyFill="1" applyBorder="1"/>
    <xf numFmtId="0" fontId="60" fillId="11" borderId="5" xfId="0" applyFont="1" applyFill="1" applyBorder="1"/>
    <xf numFmtId="0" fontId="60" fillId="11" borderId="8" xfId="0" applyFont="1" applyFill="1" applyBorder="1"/>
    <xf numFmtId="2" fontId="19" fillId="11" borderId="5" xfId="0" applyNumberFormat="1" applyFont="1" applyFill="1" applyBorder="1"/>
    <xf numFmtId="2" fontId="19" fillId="11" borderId="8" xfId="0" applyNumberFormat="1" applyFont="1" applyFill="1" applyBorder="1"/>
    <xf numFmtId="165" fontId="61" fillId="0" borderId="4" xfId="0" applyNumberFormat="1" applyFont="1" applyBorder="1"/>
    <xf numFmtId="164" fontId="60" fillId="11" borderId="5" xfId="0" applyNumberFormat="1" applyFont="1" applyFill="1" applyBorder="1"/>
    <xf numFmtId="164" fontId="60" fillId="11" borderId="8" xfId="0" applyNumberFormat="1" applyFont="1" applyFill="1" applyBorder="1"/>
    <xf numFmtId="0" fontId="60" fillId="11" borderId="2" xfId="0" applyFont="1" applyFill="1" applyBorder="1"/>
    <xf numFmtId="0" fontId="60" fillId="11" borderId="0" xfId="0" applyFont="1" applyFill="1" applyBorder="1"/>
    <xf numFmtId="0" fontId="60" fillId="11" borderId="7" xfId="0" applyFont="1" applyFill="1" applyBorder="1"/>
    <xf numFmtId="2" fontId="42" fillId="11" borderId="3" xfId="0" applyNumberFormat="1" applyFont="1" applyFill="1" applyBorder="1"/>
    <xf numFmtId="2" fontId="19" fillId="11" borderId="8" xfId="0" applyNumberFormat="1" applyFont="1" applyFill="1" applyBorder="1" applyAlignment="1">
      <alignment vertical="top" wrapText="1"/>
    </xf>
    <xf numFmtId="2" fontId="19" fillId="11" borderId="3" xfId="0" applyNumberFormat="1" applyFont="1" applyFill="1" applyBorder="1"/>
    <xf numFmtId="1" fontId="19" fillId="11" borderId="1" xfId="0" applyNumberFormat="1" applyFont="1" applyFill="1" applyBorder="1"/>
    <xf numFmtId="1" fontId="19" fillId="11" borderId="4" xfId="0" applyNumberFormat="1" applyFont="1" applyFill="1" applyBorder="1"/>
    <xf numFmtId="1" fontId="65" fillId="11" borderId="4" xfId="0" applyNumberFormat="1" applyFont="1" applyFill="1" applyBorder="1"/>
    <xf numFmtId="1" fontId="19" fillId="11" borderId="6" xfId="0" applyNumberFormat="1" applyFont="1" applyFill="1" applyBorder="1"/>
    <xf numFmtId="0" fontId="19" fillId="11" borderId="3" xfId="0" applyFont="1" applyFill="1" applyBorder="1"/>
    <xf numFmtId="43" fontId="19" fillId="11" borderId="5" xfId="1" applyFont="1" applyFill="1" applyBorder="1"/>
    <xf numFmtId="43" fontId="19" fillId="11" borderId="8" xfId="1" applyFont="1" applyFill="1" applyBorder="1"/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2" fontId="18" fillId="9" borderId="3" xfId="0" applyNumberFormat="1" applyFont="1" applyFill="1" applyBorder="1" applyAlignment="1">
      <alignment horizontal="left" vertical="top" wrapText="1"/>
    </xf>
    <xf numFmtId="2" fontId="18" fillId="9" borderId="5" xfId="0" applyNumberFormat="1" applyFont="1" applyFill="1" applyBorder="1" applyAlignment="1">
      <alignment horizontal="left" vertical="top" wrapText="1"/>
    </xf>
    <xf numFmtId="2" fontId="18" fillId="9" borderId="8" xfId="0" applyNumberFormat="1" applyFont="1" applyFill="1" applyBorder="1" applyAlignment="1">
      <alignment horizontal="left" vertical="top" wrapText="1"/>
    </xf>
    <xf numFmtId="0" fontId="18" fillId="0" borderId="0" xfId="0" applyFont="1" applyBorder="1" applyAlignment="1">
      <alignment horizontal="center"/>
    </xf>
    <xf numFmtId="0" fontId="18" fillId="0" borderId="0" xfId="0" applyFont="1" applyFill="1" applyBorder="1"/>
    <xf numFmtId="0" fontId="18" fillId="8" borderId="12" xfId="0" applyFont="1" applyFill="1" applyBorder="1" applyAlignment="1">
      <alignment horizontal="center"/>
    </xf>
    <xf numFmtId="0" fontId="18" fillId="8" borderId="13" xfId="0" applyFont="1" applyFill="1" applyBorder="1" applyAlignment="1">
      <alignment horizontal="center"/>
    </xf>
    <xf numFmtId="0" fontId="18" fillId="8" borderId="14" xfId="0" applyFont="1" applyFill="1" applyBorder="1" applyAlignment="1">
      <alignment horizontal="center"/>
    </xf>
    <xf numFmtId="0" fontId="39" fillId="0" borderId="10" xfId="0" applyFont="1" applyFill="1" applyBorder="1" applyAlignment="1">
      <alignment horizontal="left" vertical="top" wrapText="1"/>
    </xf>
    <xf numFmtId="0" fontId="19" fillId="8" borderId="13" xfId="0" applyFont="1" applyFill="1" applyBorder="1" applyAlignment="1">
      <alignment horizontal="center"/>
    </xf>
    <xf numFmtId="0" fontId="19" fillId="8" borderId="14" xfId="0" applyFont="1" applyFill="1" applyBorder="1" applyAlignment="1">
      <alignment horizontal="center"/>
    </xf>
    <xf numFmtId="0" fontId="18" fillId="8" borderId="1" xfId="0" applyFont="1" applyFill="1" applyBorder="1" applyAlignment="1">
      <alignment horizontal="center"/>
    </xf>
    <xf numFmtId="0" fontId="18" fillId="8" borderId="2" xfId="0" applyFont="1" applyFill="1" applyBorder="1" applyAlignment="1">
      <alignment horizontal="center"/>
    </xf>
    <xf numFmtId="0" fontId="18" fillId="8" borderId="3" xfId="0" applyFont="1" applyFill="1" applyBorder="1" applyAlignment="1">
      <alignment horizontal="center"/>
    </xf>
    <xf numFmtId="0" fontId="19" fillId="8" borderId="12" xfId="0" applyFont="1" applyFill="1" applyBorder="1" applyAlignment="1">
      <alignment horizontal="left"/>
    </xf>
    <xf numFmtId="0" fontId="19" fillId="8" borderId="13" xfId="0" applyFont="1" applyFill="1" applyBorder="1" applyAlignment="1">
      <alignment horizontal="left"/>
    </xf>
    <xf numFmtId="0" fontId="19" fillId="8" borderId="14" xfId="0" applyFont="1" applyFill="1" applyBorder="1" applyAlignment="1">
      <alignment horizontal="left"/>
    </xf>
    <xf numFmtId="49" fontId="6" fillId="0" borderId="0" xfId="2" applyNumberFormat="1" applyFill="1" applyBorder="1" applyAlignment="1" applyProtection="1">
      <alignment wrapText="1"/>
    </xf>
  </cellXfs>
  <cellStyles count="262">
    <cellStyle name="Comma" xfId="1" builtinId="3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Followed Hyperlink" xfId="19" builtinId="9" hidden="1"/>
    <cellStyle name="Followed Hyperlink" xfId="20" builtinId="9" hidden="1"/>
    <cellStyle name="Followed Hyperlink" xfId="21" builtinId="9" hidden="1"/>
    <cellStyle name="Followed Hyperlink" xfId="22" builtinId="9" hidden="1"/>
    <cellStyle name="Followed Hyperlink" xfId="23" builtinId="9" hidden="1"/>
    <cellStyle name="Followed Hyperlink" xfId="24" builtinId="9" hidden="1"/>
    <cellStyle name="Followed Hyperlink" xfId="25" builtinId="9" hidden="1"/>
    <cellStyle name="Followed Hyperlink" xfId="26" builtinId="9" hidden="1"/>
    <cellStyle name="Followed Hyperlink" xfId="27" builtinId="9" hidden="1"/>
    <cellStyle name="Followed Hyperlink" xfId="28" builtinId="9" hidden="1"/>
    <cellStyle name="Followed Hyperlink" xfId="29" builtinId="9" hidden="1"/>
    <cellStyle name="Followed Hyperlink" xfId="30" builtinId="9" hidden="1"/>
    <cellStyle name="Followed Hyperlink" xfId="31" builtinId="9" hidden="1"/>
    <cellStyle name="Followed Hyperlink" xfId="32" builtinId="9" hidden="1"/>
    <cellStyle name="Followed Hyperlink" xfId="33" builtinId="9" hidden="1"/>
    <cellStyle name="Followed Hyperlink" xfId="34" builtinId="9" hidden="1"/>
    <cellStyle name="Followed Hyperlink" xfId="35" builtinId="9" hidden="1"/>
    <cellStyle name="Followed Hyperlink" xfId="36" builtinId="9" hidden="1"/>
    <cellStyle name="Followed Hyperlink" xfId="37" builtinId="9" hidden="1"/>
    <cellStyle name="Followed Hyperlink" xfId="38" builtinId="9" hidden="1"/>
    <cellStyle name="Followed Hyperlink" xfId="39" builtinId="9" hidden="1"/>
    <cellStyle name="Followed Hyperlink" xfId="40" builtinId="9" hidden="1"/>
    <cellStyle name="Followed Hyperlink" xfId="41" builtinId="9" hidden="1"/>
    <cellStyle name="Followed Hyperlink" xfId="42" builtinId="9" hidden="1"/>
    <cellStyle name="Followed Hyperlink" xfId="43" builtinId="9" hidden="1"/>
    <cellStyle name="Followed Hyperlink" xfId="44" builtinId="9" hidden="1"/>
    <cellStyle name="Followed Hyperlink" xfId="45" builtinId="9" hidden="1"/>
    <cellStyle name="Followed Hyperlink" xfId="46" builtinId="9" hidden="1"/>
    <cellStyle name="Followed Hyperlink" xfId="47" builtinId="9" hidden="1"/>
    <cellStyle name="Followed Hyperlink" xfId="48" builtinId="9" hidden="1"/>
    <cellStyle name="Followed Hyperlink" xfId="49" builtinId="9" hidden="1"/>
    <cellStyle name="Followed Hyperlink" xfId="50" builtinId="9" hidden="1"/>
    <cellStyle name="Followed Hyperlink" xfId="51" builtinId="9" hidden="1"/>
    <cellStyle name="Followed Hyperlink" xfId="52" builtinId="9" hidden="1"/>
    <cellStyle name="Followed Hyperlink" xfId="53" builtinId="9" hidden="1"/>
    <cellStyle name="Followed Hyperlink" xfId="54" builtinId="9" hidden="1"/>
    <cellStyle name="Followed Hyperlink" xfId="55" builtinId="9" hidden="1"/>
    <cellStyle name="Followed Hyperlink" xfId="56" builtinId="9" hidden="1"/>
    <cellStyle name="Followed Hyperlink" xfId="57" builtinId="9" hidden="1"/>
    <cellStyle name="Followed Hyperlink" xfId="58" builtinId="9" hidden="1"/>
    <cellStyle name="Followed Hyperlink" xfId="59" builtinId="9" hidden="1"/>
    <cellStyle name="Followed Hyperlink" xfId="60" builtinId="9" hidden="1"/>
    <cellStyle name="Followed Hyperlink" xfId="61" builtinId="9" hidden="1"/>
    <cellStyle name="Followed Hyperlink" xfId="62" builtinId="9" hidden="1"/>
    <cellStyle name="Followed Hyperlink" xfId="63" builtinId="9" hidden="1"/>
    <cellStyle name="Followed Hyperlink" xfId="64" builtinId="9" hidden="1"/>
    <cellStyle name="Followed Hyperlink" xfId="65" builtinId="9" hidden="1"/>
    <cellStyle name="Followed Hyperlink" xfId="66" builtinId="9" hidden="1"/>
    <cellStyle name="Followed Hyperlink" xfId="67" builtinId="9" hidden="1"/>
    <cellStyle name="Followed Hyperlink" xfId="68" builtinId="9" hidden="1"/>
    <cellStyle name="Followed Hyperlink" xfId="69" builtinId="9" hidden="1"/>
    <cellStyle name="Followed Hyperlink" xfId="70" builtinId="9" hidden="1"/>
    <cellStyle name="Followed Hyperlink" xfId="71" builtinId="9" hidden="1"/>
    <cellStyle name="Followed Hyperlink" xfId="72" builtinId="9" hidden="1"/>
    <cellStyle name="Followed Hyperlink" xfId="73" builtinId="9" hidden="1"/>
    <cellStyle name="Followed Hyperlink" xfId="74" builtinId="9" hidden="1"/>
    <cellStyle name="Followed Hyperlink" xfId="75" builtinId="9" hidden="1"/>
    <cellStyle name="Followed Hyperlink" xfId="76" builtinId="9" hidden="1"/>
    <cellStyle name="Followed Hyperlink" xfId="77" builtinId="9" hidden="1"/>
    <cellStyle name="Followed Hyperlink" xfId="78" builtinId="9" hidden="1"/>
    <cellStyle name="Followed Hyperlink" xfId="79" builtinId="9" hidden="1"/>
    <cellStyle name="Followed Hyperlink" xfId="80" builtinId="9" hidden="1"/>
    <cellStyle name="Followed Hyperlink" xfId="81" builtinId="9" hidden="1"/>
    <cellStyle name="Followed Hyperlink" xfId="82" builtinId="9" hidden="1"/>
    <cellStyle name="Followed Hyperlink" xfId="83" builtinId="9" hidden="1"/>
    <cellStyle name="Followed Hyperlink" xfId="84" builtinId="9" hidden="1"/>
    <cellStyle name="Followed Hyperlink" xfId="85" builtinId="9" hidden="1"/>
    <cellStyle name="Followed Hyperlink" xfId="86" builtinId="9" hidden="1"/>
    <cellStyle name="Followed Hyperlink" xfId="87" builtinId="9" hidden="1"/>
    <cellStyle name="Followed Hyperlink" xfId="88" builtinId="9" hidden="1"/>
    <cellStyle name="Followed Hyperlink" xfId="89" builtinId="9" hidden="1"/>
    <cellStyle name="Followed Hyperlink" xfId="90" builtinId="9" hidden="1"/>
    <cellStyle name="Followed Hyperlink" xfId="91" builtinId="9" hidden="1"/>
    <cellStyle name="Followed Hyperlink" xfId="92" builtinId="9" hidden="1"/>
    <cellStyle name="Followed Hyperlink" xfId="93" builtinId="9" hidden="1"/>
    <cellStyle name="Followed Hyperlink" xfId="94" builtinId="9" hidden="1"/>
    <cellStyle name="Followed Hyperlink" xfId="95" builtinId="9" hidden="1"/>
    <cellStyle name="Followed Hyperlink" xfId="96" builtinId="9" hidden="1"/>
    <cellStyle name="Followed Hyperlink" xfId="97" builtinId="9" hidden="1"/>
    <cellStyle name="Followed Hyperlink" xfId="98" builtinId="9" hidden="1"/>
    <cellStyle name="Followed Hyperlink" xfId="99" builtinId="9" hidden="1"/>
    <cellStyle name="Followed Hyperlink" xfId="100" builtinId="9" hidden="1"/>
    <cellStyle name="Followed Hyperlink" xfId="101" builtinId="9" hidden="1"/>
    <cellStyle name="Followed Hyperlink" xfId="102" builtinId="9" hidden="1"/>
    <cellStyle name="Followed Hyperlink" xfId="103" builtinId="9" hidden="1"/>
    <cellStyle name="Followed Hyperlink" xfId="104" builtinId="9" hidden="1"/>
    <cellStyle name="Followed Hyperlink" xfId="105" builtinId="9" hidden="1"/>
    <cellStyle name="Followed Hyperlink" xfId="106" builtinId="9" hidden="1"/>
    <cellStyle name="Followed Hyperlink" xfId="107" builtinId="9" hidden="1"/>
    <cellStyle name="Followed Hyperlink" xfId="108" builtinId="9" hidden="1"/>
    <cellStyle name="Followed Hyperlink" xfId="109" builtinId="9" hidden="1"/>
    <cellStyle name="Followed Hyperlink" xfId="110" builtinId="9" hidden="1"/>
    <cellStyle name="Followed Hyperlink" xfId="111" builtinId="9" hidden="1"/>
    <cellStyle name="Followed Hyperlink" xfId="112" builtinId="9" hidden="1"/>
    <cellStyle name="Followed Hyperlink" xfId="113" builtinId="9" hidden="1"/>
    <cellStyle name="Followed Hyperlink" xfId="114" builtinId="9" hidden="1"/>
    <cellStyle name="Followed Hyperlink" xfId="115" builtinId="9" hidden="1"/>
    <cellStyle name="Followed Hyperlink" xfId="116" builtinId="9" hidden="1"/>
    <cellStyle name="Followed Hyperlink" xfId="117" builtinId="9" hidden="1"/>
    <cellStyle name="Followed Hyperlink" xfId="118" builtinId="9" hidden="1"/>
    <cellStyle name="Followed Hyperlink" xfId="119" builtinId="9" hidden="1"/>
    <cellStyle name="Followed Hyperlink" xfId="120" builtinId="9" hidden="1"/>
    <cellStyle name="Followed Hyperlink" xfId="121" builtinId="9" hidden="1"/>
    <cellStyle name="Followed Hyperlink" xfId="122" builtinId="9" hidden="1"/>
    <cellStyle name="Followed Hyperlink" xfId="123" builtinId="9" hidden="1"/>
    <cellStyle name="Followed Hyperlink" xfId="124" builtinId="9" hidden="1"/>
    <cellStyle name="Followed Hyperlink" xfId="125" builtinId="9" hidden="1"/>
    <cellStyle name="Followed Hyperlink" xfId="126" builtinId="9" hidden="1"/>
    <cellStyle name="Followed Hyperlink" xfId="127" builtinId="9" hidden="1"/>
    <cellStyle name="Followed Hyperlink" xfId="128" builtinId="9" hidden="1"/>
    <cellStyle name="Followed Hyperlink" xfId="129" builtinId="9" hidden="1"/>
    <cellStyle name="Followed Hyperlink" xfId="130" builtinId="9" hidden="1"/>
    <cellStyle name="Followed Hyperlink" xfId="131" builtinId="9" hidden="1"/>
    <cellStyle name="Followed Hyperlink" xfId="132" builtinId="9" hidden="1"/>
    <cellStyle name="Followed Hyperlink" xfId="133" builtinId="9" hidden="1"/>
    <cellStyle name="Followed Hyperlink" xfId="134" builtinId="9" hidden="1"/>
    <cellStyle name="Followed Hyperlink" xfId="135" builtinId="9" hidden="1"/>
    <cellStyle name="Followed Hyperlink" xfId="136" builtinId="9" hidden="1"/>
    <cellStyle name="Followed Hyperlink" xfId="137" builtinId="9" hidden="1"/>
    <cellStyle name="Followed Hyperlink" xfId="138" builtinId="9" hidden="1"/>
    <cellStyle name="Followed Hyperlink" xfId="139" builtinId="9" hidden="1"/>
    <cellStyle name="Followed Hyperlink" xfId="140" builtinId="9" hidden="1"/>
    <cellStyle name="Followed Hyperlink" xfId="141" builtinId="9" hidden="1"/>
    <cellStyle name="Followed Hyperlink" xfId="142" builtinId="9" hidden="1"/>
    <cellStyle name="Followed Hyperlink" xfId="143" builtinId="9" hidden="1"/>
    <cellStyle name="Followed Hyperlink" xfId="144" builtinId="9" hidden="1"/>
    <cellStyle name="Followed Hyperlink" xfId="145" builtinId="9" hidden="1"/>
    <cellStyle name="Followed Hyperlink" xfId="146" builtinId="9" hidden="1"/>
    <cellStyle name="Followed Hyperlink" xfId="147" builtinId="9" hidden="1"/>
    <cellStyle name="Followed Hyperlink" xfId="148" builtinId="9" hidden="1"/>
    <cellStyle name="Followed Hyperlink" xfId="149" builtinId="9" hidden="1"/>
    <cellStyle name="Followed Hyperlink" xfId="150" builtinId="9" hidden="1"/>
    <cellStyle name="Followed Hyperlink" xfId="151" builtinId="9" hidden="1"/>
    <cellStyle name="Followed Hyperlink" xfId="152" builtinId="9" hidden="1"/>
    <cellStyle name="Followed Hyperlink" xfId="153" builtinId="9" hidden="1"/>
    <cellStyle name="Followed Hyperlink" xfId="154" builtinId="9" hidden="1"/>
    <cellStyle name="Followed Hyperlink" xfId="155" builtinId="9" hidden="1"/>
    <cellStyle name="Followed Hyperlink" xfId="156" builtinId="9" hidden="1"/>
    <cellStyle name="Followed Hyperlink" xfId="157" builtinId="9" hidden="1"/>
    <cellStyle name="Followed Hyperlink" xfId="158" builtinId="9" hidden="1"/>
    <cellStyle name="Followed Hyperlink" xfId="159" builtinId="9" hidden="1"/>
    <cellStyle name="Followed Hyperlink" xfId="160" builtinId="9" hidden="1"/>
    <cellStyle name="Followed Hyperlink" xfId="161" builtinId="9" hidden="1"/>
    <cellStyle name="Followed Hyperlink" xfId="162" builtinId="9" hidden="1"/>
    <cellStyle name="Followed Hyperlink" xfId="163" builtinId="9" hidden="1"/>
    <cellStyle name="Followed Hyperlink" xfId="164" builtinId="9" hidden="1"/>
    <cellStyle name="Followed Hyperlink" xfId="165" builtinId="9" hidden="1"/>
    <cellStyle name="Followed Hyperlink" xfId="166" builtinId="9" hidden="1"/>
    <cellStyle name="Followed Hyperlink" xfId="167" builtinId="9" hidden="1"/>
    <cellStyle name="Followed Hyperlink" xfId="168" builtinId="9" hidden="1"/>
    <cellStyle name="Followed Hyperlink" xfId="169" builtinId="9" hidden="1"/>
    <cellStyle name="Followed Hyperlink" xfId="170" builtinId="9" hidden="1"/>
    <cellStyle name="Followed Hyperlink" xfId="171" builtinId="9" hidden="1"/>
    <cellStyle name="Followed Hyperlink" xfId="172" builtinId="9" hidden="1"/>
    <cellStyle name="Followed Hyperlink" xfId="173" builtinId="9" hidden="1"/>
    <cellStyle name="Followed Hyperlink" xfId="174" builtinId="9" hidden="1"/>
    <cellStyle name="Followed Hyperlink" xfId="175" builtinId="9" hidden="1"/>
    <cellStyle name="Followed Hyperlink" xfId="176" builtinId="9" hidden="1"/>
    <cellStyle name="Followed Hyperlink" xfId="177" builtinId="9" hidden="1"/>
    <cellStyle name="Followed Hyperlink" xfId="178" builtinId="9" hidden="1"/>
    <cellStyle name="Followed Hyperlink" xfId="179" builtinId="9" hidden="1"/>
    <cellStyle name="Followed Hyperlink" xfId="180" builtinId="9" hidden="1"/>
    <cellStyle name="Followed Hyperlink" xfId="181" builtinId="9" hidden="1"/>
    <cellStyle name="Followed Hyperlink" xfId="182" builtinId="9" hidden="1"/>
    <cellStyle name="Followed Hyperlink" xfId="183" builtinId="9" hidden="1"/>
    <cellStyle name="Followed Hyperlink" xfId="184" builtinId="9" hidden="1"/>
    <cellStyle name="Followed Hyperlink" xfId="185" builtinId="9" hidden="1"/>
    <cellStyle name="Followed Hyperlink" xfId="186" builtinId="9" hidden="1"/>
    <cellStyle name="Followed Hyperlink" xfId="187" builtinId="9" hidden="1"/>
    <cellStyle name="Followed Hyperlink" xfId="188" builtinId="9" hidden="1"/>
    <cellStyle name="Followed Hyperlink" xfId="189" builtinId="9" hidden="1"/>
    <cellStyle name="Followed Hyperlink" xfId="190" builtinId="9" hidden="1"/>
    <cellStyle name="Followed Hyperlink" xfId="191" builtinId="9" hidden="1"/>
    <cellStyle name="Followed Hyperlink" xfId="192" builtinId="9" hidden="1"/>
    <cellStyle name="Followed Hyperlink" xfId="193" builtinId="9" hidden="1"/>
    <cellStyle name="Followed Hyperlink" xfId="194" builtinId="9" hidden="1"/>
    <cellStyle name="Followed Hyperlink" xfId="195" builtinId="9" hidden="1"/>
    <cellStyle name="Followed Hyperlink" xfId="196" builtinId="9" hidden="1"/>
    <cellStyle name="Followed Hyperlink" xfId="197" builtinId="9" hidden="1"/>
    <cellStyle name="Followed Hyperlink" xfId="198" builtinId="9" hidden="1"/>
    <cellStyle name="Followed Hyperlink" xfId="199" builtinId="9" hidden="1"/>
    <cellStyle name="Followed Hyperlink" xfId="200" builtinId="9" hidden="1"/>
    <cellStyle name="Followed Hyperlink" xfId="201" builtinId="9" hidden="1"/>
    <cellStyle name="Followed Hyperlink" xfId="202" builtinId="9" hidden="1"/>
    <cellStyle name="Followed Hyperlink" xfId="203" builtinId="9" hidden="1"/>
    <cellStyle name="Followed Hyperlink" xfId="204" builtinId="9" hidden="1"/>
    <cellStyle name="Followed Hyperlink" xfId="205" builtinId="9" hidden="1"/>
    <cellStyle name="Followed Hyperlink" xfId="206" builtinId="9" hidden="1"/>
    <cellStyle name="Followed Hyperlink" xfId="207" builtinId="9" hidden="1"/>
    <cellStyle name="Followed Hyperlink" xfId="208" builtinId="9" hidden="1"/>
    <cellStyle name="Followed Hyperlink" xfId="209" builtinId="9" hidden="1"/>
    <cellStyle name="Followed Hyperlink" xfId="210" builtinId="9" hidden="1"/>
    <cellStyle name="Followed Hyperlink" xfId="211" builtinId="9" hidden="1"/>
    <cellStyle name="Followed Hyperlink" xfId="212" builtinId="9" hidden="1"/>
    <cellStyle name="Followed Hyperlink" xfId="213" builtinId="9" hidden="1"/>
    <cellStyle name="Followed Hyperlink" xfId="214" builtinId="9" hidden="1"/>
    <cellStyle name="Followed Hyperlink" xfId="215" builtinId="9" hidden="1"/>
    <cellStyle name="Followed Hyperlink" xfId="216" builtinId="9" hidden="1"/>
    <cellStyle name="Followed Hyperlink" xfId="217" builtinId="9" hidden="1"/>
    <cellStyle name="Followed Hyperlink" xfId="218" builtinId="9" hidden="1"/>
    <cellStyle name="Followed Hyperlink" xfId="219" builtinId="9" hidden="1"/>
    <cellStyle name="Followed Hyperlink" xfId="220" builtinId="9" hidden="1"/>
    <cellStyle name="Followed Hyperlink" xfId="221" builtinId="9" hidden="1"/>
    <cellStyle name="Followed Hyperlink" xfId="222" builtinId="9" hidden="1"/>
    <cellStyle name="Followed Hyperlink" xfId="223" builtinId="9" hidden="1"/>
    <cellStyle name="Followed Hyperlink" xfId="224" builtinId="9" hidden="1"/>
    <cellStyle name="Followed Hyperlink" xfId="225" builtinId="9" hidden="1"/>
    <cellStyle name="Followed Hyperlink" xfId="226" builtinId="9" hidden="1"/>
    <cellStyle name="Followed Hyperlink" xfId="227" builtinId="9" hidden="1"/>
    <cellStyle name="Followed Hyperlink" xfId="228" builtinId="9" hidden="1"/>
    <cellStyle name="Followed Hyperlink" xfId="229" builtinId="9" hidden="1"/>
    <cellStyle name="Followed Hyperlink" xfId="230" builtinId="9" hidden="1"/>
    <cellStyle name="Followed Hyperlink" xfId="231" builtinId="9" hidden="1"/>
    <cellStyle name="Followed Hyperlink" xfId="232" builtinId="9" hidden="1"/>
    <cellStyle name="Followed Hyperlink" xfId="233" builtinId="9" hidden="1"/>
    <cellStyle name="Followed Hyperlink" xfId="234" builtinId="9" hidden="1"/>
    <cellStyle name="Followed Hyperlink" xfId="235" builtinId="9" hidden="1"/>
    <cellStyle name="Followed Hyperlink" xfId="236" builtinId="9" hidden="1"/>
    <cellStyle name="Followed Hyperlink" xfId="237" builtinId="9" hidden="1"/>
    <cellStyle name="Followed Hyperlink" xfId="238" builtinId="9" hidden="1"/>
    <cellStyle name="Followed Hyperlink" xfId="239" builtinId="9" hidden="1"/>
    <cellStyle name="Followed Hyperlink" xfId="240" builtinId="9" hidden="1"/>
    <cellStyle name="Followed Hyperlink" xfId="241" builtinId="9" hidden="1"/>
    <cellStyle name="Followed Hyperlink" xfId="242" builtinId="9" hidden="1"/>
    <cellStyle name="Followed Hyperlink" xfId="243" builtinId="9" hidden="1"/>
    <cellStyle name="Followed Hyperlink" xfId="244" builtinId="9" hidden="1"/>
    <cellStyle name="Followed Hyperlink" xfId="245" builtinId="9" hidden="1"/>
    <cellStyle name="Followed Hyperlink" xfId="246" builtinId="9" hidden="1"/>
    <cellStyle name="Followed Hyperlink" xfId="247" builtinId="9" hidden="1"/>
    <cellStyle name="Followed Hyperlink" xfId="248" builtinId="9" hidden="1"/>
    <cellStyle name="Followed Hyperlink" xfId="249" builtinId="9" hidden="1"/>
    <cellStyle name="Followed Hyperlink" xfId="250" builtinId="9" hidden="1"/>
    <cellStyle name="Followed Hyperlink" xfId="251" builtinId="9" hidden="1"/>
    <cellStyle name="Followed Hyperlink" xfId="252" builtinId="9" hidden="1"/>
    <cellStyle name="Followed Hyperlink" xfId="253" builtinId="9" hidden="1"/>
    <cellStyle name="Followed Hyperlink" xfId="254" builtinId="9" hidden="1"/>
    <cellStyle name="Followed Hyperlink" xfId="255" builtinId="9" hidden="1"/>
    <cellStyle name="Followed Hyperlink" xfId="256" builtinId="9" hidden="1"/>
    <cellStyle name="Followed Hyperlink" xfId="257" builtinId="9" hidden="1"/>
    <cellStyle name="Followed Hyperlink" xfId="258" builtinId="9" hidden="1"/>
    <cellStyle name="Followed Hyperlink" xfId="259" builtinId="9" hidden="1"/>
    <cellStyle name="Followed Hyperlink" xfId="260" builtinId="9" hidden="1"/>
    <cellStyle name="Followed Hyperlink" xfId="261" builtinId="9" hidden="1"/>
    <cellStyle name="Hyperlink" xfId="2" builtinId="8"/>
    <cellStyle name="Normal" xfId="0" builtinId="0"/>
    <cellStyle name="Percent" xfId="4" builtinId="5"/>
    <cellStyle name="X06_Figs 1 dec" xfId="3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FF"/>
    </mruColors>
  </colors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3.xml"/><Relationship Id="rId20" Type="http://schemas.openxmlformats.org/officeDocument/2006/relationships/styles" Target="styles.xml"/><Relationship Id="rId21" Type="http://schemas.openxmlformats.org/officeDocument/2006/relationships/sharedStrings" Target="sharedStrings.xml"/><Relationship Id="rId22" Type="http://schemas.openxmlformats.org/officeDocument/2006/relationships/calcChain" Target="calcChain.xml"/><Relationship Id="rId10" Type="http://schemas.openxmlformats.org/officeDocument/2006/relationships/worksheet" Target="worksheets/sheet4.xml"/><Relationship Id="rId11" Type="http://schemas.openxmlformats.org/officeDocument/2006/relationships/worksheet" Target="worksheets/sheet5.xml"/><Relationship Id="rId12" Type="http://schemas.openxmlformats.org/officeDocument/2006/relationships/worksheet" Target="worksheets/sheet6.xml"/><Relationship Id="rId13" Type="http://schemas.openxmlformats.org/officeDocument/2006/relationships/worksheet" Target="worksheets/sheet7.xml"/><Relationship Id="rId14" Type="http://schemas.openxmlformats.org/officeDocument/2006/relationships/worksheet" Target="worksheets/sheet8.xml"/><Relationship Id="rId15" Type="http://schemas.openxmlformats.org/officeDocument/2006/relationships/worksheet" Target="worksheets/sheet9.xml"/><Relationship Id="rId16" Type="http://schemas.openxmlformats.org/officeDocument/2006/relationships/worksheet" Target="worksheets/sheet10.xml"/><Relationship Id="rId17" Type="http://schemas.openxmlformats.org/officeDocument/2006/relationships/worksheet" Target="worksheets/sheet11.xml"/><Relationship Id="rId18" Type="http://schemas.openxmlformats.org/officeDocument/2006/relationships/worksheet" Target="worksheets/sheet12.xml"/><Relationship Id="rId19" Type="http://schemas.openxmlformats.org/officeDocument/2006/relationships/theme" Target="theme/theme1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Relationship Id="rId3" Type="http://schemas.openxmlformats.org/officeDocument/2006/relationships/chartsheet" Target="chartsheets/sheet2.xml"/><Relationship Id="rId4" Type="http://schemas.openxmlformats.org/officeDocument/2006/relationships/chartsheet" Target="chartsheets/sheet3.xml"/><Relationship Id="rId5" Type="http://schemas.openxmlformats.org/officeDocument/2006/relationships/chartsheet" Target="chartsheets/sheet4.xml"/><Relationship Id="rId6" Type="http://schemas.openxmlformats.org/officeDocument/2006/relationships/chartsheet" Target="chartsheets/sheet5.xml"/><Relationship Id="rId7" Type="http://schemas.openxmlformats.org/officeDocument/2006/relationships/chartsheet" Target="chartsheets/sheet6.xml"/><Relationship Id="rId8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chemeClr val="bg1"/>
                </a:solidFill>
                <a:latin typeface="Verdana"/>
                <a:ea typeface="Verdana"/>
                <a:cs typeface="Verdana"/>
              </a:defRPr>
            </a:pPr>
            <a:r>
              <a:rPr lang="en-US" sz="1200" b="1" i="0" strike="noStrike">
                <a:solidFill>
                  <a:schemeClr val="bg1"/>
                </a:solidFill>
                <a:latin typeface="Verdana"/>
                <a:ea typeface="Verdana"/>
                <a:cs typeface="Verdana"/>
              </a:rPr>
              <a:t>Low- or no-carbon worldwide </a:t>
            </a:r>
          </a:p>
          <a:p>
            <a:pPr>
              <a:defRPr sz="1000" b="0" i="0" u="none" strike="noStrike" baseline="0">
                <a:solidFill>
                  <a:schemeClr val="bg1"/>
                </a:solidFill>
                <a:latin typeface="Verdana"/>
                <a:ea typeface="Verdana"/>
                <a:cs typeface="Verdana"/>
              </a:defRPr>
            </a:pPr>
            <a:r>
              <a:rPr lang="en-US" sz="1200" b="1" i="0" strike="noStrike">
                <a:solidFill>
                  <a:schemeClr val="bg1"/>
                </a:solidFill>
                <a:latin typeface="Verdana"/>
                <a:ea typeface="Verdana"/>
                <a:cs typeface="Verdana"/>
              </a:rPr>
              <a:t>electrical output (except large hydro)</a:t>
            </a:r>
          </a:p>
        </c:rich>
      </c:tx>
      <c:layout>
        <c:manualLayout>
          <c:xMode val="edge"/>
          <c:yMode val="edge"/>
          <c:x val="0.207407416061123"/>
          <c:y val="0.015250544662309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948148148148148"/>
          <c:y val="0.122004357298475"/>
          <c:w val="0.611851851851852"/>
          <c:h val="0.773420479302832"/>
        </c:manualLayout>
      </c:layout>
      <c:areaChart>
        <c:grouping val="stacked"/>
        <c:varyColors val="0"/>
        <c:ser>
          <c:idx val="0"/>
          <c:order val="0"/>
          <c:spPr>
            <a:solidFill>
              <a:srgbClr val="0000D4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'Generation (TWh)'!$B$46:$B$58</c:f>
              <c:numCache>
                <c:formatCode>General</c:formatCode>
                <c:ptCount val="13"/>
              </c:numCache>
            </c:numRef>
          </c:cat>
          <c:val>
            <c:numRef>
              <c:f>'Generation (TWh)'!$D$46:$D$58</c:f>
              <c:numCache>
                <c:formatCode>0.000</c:formatCode>
                <c:ptCount val="13"/>
              </c:numCache>
            </c:numRef>
          </c:val>
        </c:ser>
        <c:ser>
          <c:idx val="1"/>
          <c:order val="1"/>
          <c:spPr>
            <a:solidFill>
              <a:srgbClr val="DD2D32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'Generation (TWh)'!$B$46:$B$58</c:f>
              <c:numCache>
                <c:formatCode>General</c:formatCode>
                <c:ptCount val="13"/>
              </c:numCache>
            </c:numRef>
          </c:cat>
          <c:val>
            <c:numRef>
              <c:f>'Generation (TWh)'!$E$46:$E$58</c:f>
              <c:numCache>
                <c:formatCode>0.000</c:formatCode>
                <c:ptCount val="13"/>
              </c:numCache>
            </c:numRef>
          </c:val>
        </c:ser>
        <c:ser>
          <c:idx val="2"/>
          <c:order val="2"/>
          <c:spPr>
            <a:solidFill>
              <a:srgbClr val="99CC00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'Generation (TWh)'!$B$46:$B$58</c:f>
              <c:numCache>
                <c:formatCode>General</c:formatCode>
                <c:ptCount val="13"/>
              </c:numCache>
            </c:numRef>
          </c:cat>
          <c:val>
            <c:numRef>
              <c:f>'Generation (TWh)'!$F$46:$F$58</c:f>
              <c:numCache>
                <c:formatCode>0.000</c:formatCode>
                <c:ptCount val="13"/>
              </c:numCache>
            </c:numRef>
          </c:val>
        </c:ser>
        <c:ser>
          <c:idx val="3"/>
          <c:order val="3"/>
          <c:spPr>
            <a:solidFill>
              <a:schemeClr val="bg1">
                <a:lumMod val="75000"/>
              </a:schemeClr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'Generation (TWh)'!$B$46:$B$58</c:f>
              <c:numCache>
                <c:formatCode>General</c:formatCode>
                <c:ptCount val="13"/>
              </c:numCache>
            </c:numRef>
          </c:cat>
          <c:val>
            <c:numRef>
              <c:f>'Generation (TWh)'!$G$46:$G$58</c:f>
              <c:numCache>
                <c:formatCode>0.000</c:formatCode>
                <c:ptCount val="13"/>
              </c:numCache>
            </c:numRef>
          </c:val>
        </c:ser>
        <c:ser>
          <c:idx val="4"/>
          <c:order val="4"/>
          <c:spPr>
            <a:solidFill>
              <a:srgbClr val="6711FF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'Generation (TWh)'!$B$46:$B$58</c:f>
              <c:numCache>
                <c:formatCode>General</c:formatCode>
                <c:ptCount val="13"/>
              </c:numCache>
            </c:numRef>
          </c:cat>
          <c:val>
            <c:numRef>
              <c:f>'Generation (TWh)'!$H$46:$H$58</c:f>
              <c:numCache>
                <c:formatCode>0.000</c:formatCode>
                <c:ptCount val="13"/>
              </c:numCache>
            </c:numRef>
          </c:val>
        </c:ser>
        <c:ser>
          <c:idx val="5"/>
          <c:order val="5"/>
          <c:spPr>
            <a:solidFill>
              <a:srgbClr val="FEA746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'Generation (TWh)'!$B$46:$B$58</c:f>
              <c:numCache>
                <c:formatCode>General</c:formatCode>
                <c:ptCount val="13"/>
              </c:numCache>
            </c:numRef>
          </c:cat>
          <c:val>
            <c:numRef>
              <c:f>'Generation (TWh)'!$J$46:$J$58</c:f>
              <c:numCache>
                <c:formatCode>0.000</c:formatCode>
                <c:ptCount val="13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6283320"/>
        <c:axId val="2122863912"/>
      </c:areaChart>
      <c:lineChart>
        <c:grouping val="standard"/>
        <c:varyColors val="0"/>
        <c:ser>
          <c:idx val="8"/>
          <c:order val="6"/>
          <c:spPr>
            <a:ln>
              <a:solidFill>
                <a:schemeClr val="bg1"/>
              </a:solidFill>
            </a:ln>
          </c:spPr>
          <c:marker>
            <c:spPr>
              <a:noFill/>
              <a:ln>
                <a:noFill/>
              </a:ln>
            </c:spPr>
          </c:marker>
          <c:val>
            <c:numRef>
              <c:f>'Generation (TWh)'!$C$46:$C$58</c:f>
              <c:numCache>
                <c:formatCode>0.000</c:formatCode>
                <c:ptCount val="13"/>
              </c:numCache>
            </c:numRef>
          </c:val>
          <c:smooth val="0"/>
        </c:ser>
        <c:ser>
          <c:idx val="6"/>
          <c:order val="7"/>
          <c:spPr>
            <a:ln>
              <a:solidFill>
                <a:schemeClr val="bg1"/>
              </a:solidFill>
              <a:prstDash val="sysDash"/>
            </a:ln>
          </c:spPr>
          <c:marker>
            <c:spPr>
              <a:noFill/>
              <a:ln>
                <a:noFill/>
              </a:ln>
            </c:spPr>
          </c:marker>
          <c:val>
            <c:numRef>
              <c:f>'Generation (TWh)'!$K$46:$K$58</c:f>
              <c:numCache>
                <c:formatCode>0.000</c:formatCode>
                <c:ptCount val="13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6283320"/>
        <c:axId val="2122863912"/>
      </c:lineChart>
      <c:catAx>
        <c:axId val="2126283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chemeClr val="bg1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bg1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122863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2863912"/>
        <c:scaling>
          <c:orientation val="minMax"/>
          <c:max val="5000.0"/>
          <c:min val="0.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25400">
            <a:solidFill>
              <a:schemeClr val="bg1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bg1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126283320"/>
        <c:crosses val="autoZero"/>
        <c:crossBetween val="midCat"/>
        <c:majorUnit val="1000.0"/>
      </c:valAx>
      <c:spPr>
        <a:noFill/>
        <a:ln w="25400">
          <a:solidFill>
            <a:schemeClr val="bg1"/>
          </a:solidFill>
          <a:prstDash val="solid"/>
        </a:ln>
      </c:spPr>
    </c:plotArea>
    <c:plotVisOnly val="0"/>
    <c:dispBlanksAs val="zero"/>
    <c:showDLblsOverMax val="0"/>
  </c:chart>
  <c:spPr>
    <a:solidFill>
      <a:schemeClr val="tx1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chemeClr val="tx1"/>
                </a:solidFill>
                <a:latin typeface="Verdana"/>
                <a:ea typeface="Verdana"/>
                <a:cs typeface="Verdana"/>
              </a:defRPr>
            </a:pPr>
            <a:r>
              <a:rPr lang="en-US" sz="1200" b="1" i="0" strike="noStrike">
                <a:solidFill>
                  <a:schemeClr val="tx1"/>
                </a:solidFill>
                <a:latin typeface="Verdana"/>
                <a:ea typeface="Verdana"/>
                <a:cs typeface="Verdana"/>
              </a:rPr>
              <a:t>Low- or no-carbon worldwide </a:t>
            </a:r>
          </a:p>
          <a:p>
            <a:pPr>
              <a:defRPr sz="1000" b="0" i="0" u="none" strike="noStrike" baseline="0">
                <a:solidFill>
                  <a:schemeClr val="tx1"/>
                </a:solidFill>
                <a:latin typeface="Verdana"/>
                <a:ea typeface="Verdana"/>
                <a:cs typeface="Verdana"/>
              </a:defRPr>
            </a:pPr>
            <a:r>
              <a:rPr lang="en-US" sz="1200" b="1" i="0" strike="noStrike">
                <a:solidFill>
                  <a:schemeClr val="tx1"/>
                </a:solidFill>
                <a:latin typeface="Verdana"/>
                <a:ea typeface="Verdana"/>
                <a:cs typeface="Verdana"/>
              </a:rPr>
              <a:t>electrical output (except large hydro)</a:t>
            </a:r>
          </a:p>
        </c:rich>
      </c:tx>
      <c:layout>
        <c:manualLayout>
          <c:xMode val="edge"/>
          <c:yMode val="edge"/>
          <c:x val="0.207407416061123"/>
          <c:y val="0.015250544662309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948148148148148"/>
          <c:y val="0.122004357298475"/>
          <c:w val="0.611851851851852"/>
          <c:h val="0.773420479302832"/>
        </c:manualLayout>
      </c:layout>
      <c:areaChart>
        <c:grouping val="stacked"/>
        <c:varyColors val="0"/>
        <c:ser>
          <c:idx val="0"/>
          <c:order val="0"/>
          <c:spPr>
            <a:solidFill>
              <a:srgbClr val="0000D4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'Generation (TWh)'!$B$46:$B$58</c:f>
              <c:numCache>
                <c:formatCode>General</c:formatCode>
                <c:ptCount val="13"/>
              </c:numCache>
            </c:numRef>
          </c:cat>
          <c:val>
            <c:numRef>
              <c:f>'Generation (TWh)'!$D$46:$D$58</c:f>
              <c:numCache>
                <c:formatCode>0.000</c:formatCode>
                <c:ptCount val="13"/>
              </c:numCache>
            </c:numRef>
          </c:val>
        </c:ser>
        <c:ser>
          <c:idx val="1"/>
          <c:order val="1"/>
          <c:spPr>
            <a:solidFill>
              <a:srgbClr val="DD2D32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'Generation (TWh)'!$B$46:$B$58</c:f>
              <c:numCache>
                <c:formatCode>General</c:formatCode>
                <c:ptCount val="13"/>
              </c:numCache>
            </c:numRef>
          </c:cat>
          <c:val>
            <c:numRef>
              <c:f>'Generation (TWh)'!$E$46:$E$58</c:f>
              <c:numCache>
                <c:formatCode>0.000</c:formatCode>
                <c:ptCount val="13"/>
              </c:numCache>
            </c:numRef>
          </c:val>
        </c:ser>
        <c:ser>
          <c:idx val="2"/>
          <c:order val="2"/>
          <c:spPr>
            <a:solidFill>
              <a:srgbClr val="99CC00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'Generation (TWh)'!$B$46:$B$58</c:f>
              <c:numCache>
                <c:formatCode>General</c:formatCode>
                <c:ptCount val="13"/>
              </c:numCache>
            </c:numRef>
          </c:cat>
          <c:val>
            <c:numRef>
              <c:f>'Generation (TWh)'!$F$46:$F$58</c:f>
              <c:numCache>
                <c:formatCode>0.000</c:formatCode>
                <c:ptCount val="13"/>
              </c:numCache>
            </c:numRef>
          </c:val>
        </c:ser>
        <c:ser>
          <c:idx val="3"/>
          <c:order val="3"/>
          <c:spPr>
            <a:solidFill>
              <a:schemeClr val="bg1">
                <a:lumMod val="75000"/>
              </a:schemeClr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'Generation (TWh)'!$B$46:$B$58</c:f>
              <c:numCache>
                <c:formatCode>General</c:formatCode>
                <c:ptCount val="13"/>
              </c:numCache>
            </c:numRef>
          </c:cat>
          <c:val>
            <c:numRef>
              <c:f>'Generation (TWh)'!$G$46:$G$58</c:f>
              <c:numCache>
                <c:formatCode>0.000</c:formatCode>
                <c:ptCount val="13"/>
              </c:numCache>
            </c:numRef>
          </c:val>
        </c:ser>
        <c:ser>
          <c:idx val="4"/>
          <c:order val="4"/>
          <c:spPr>
            <a:solidFill>
              <a:srgbClr val="6711FF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'Generation (TWh)'!$B$46:$B$58</c:f>
              <c:numCache>
                <c:formatCode>General</c:formatCode>
                <c:ptCount val="13"/>
              </c:numCache>
            </c:numRef>
          </c:cat>
          <c:val>
            <c:numRef>
              <c:f>'Generation (TWh)'!$H$46:$H$58</c:f>
              <c:numCache>
                <c:formatCode>0.000</c:formatCode>
                <c:ptCount val="13"/>
              </c:numCache>
            </c:numRef>
          </c:val>
        </c:ser>
        <c:ser>
          <c:idx val="5"/>
          <c:order val="5"/>
          <c:spPr>
            <a:solidFill>
              <a:srgbClr val="FEA746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'Generation (TWh)'!$B$46:$B$58</c:f>
              <c:numCache>
                <c:formatCode>General</c:formatCode>
                <c:ptCount val="13"/>
              </c:numCache>
            </c:numRef>
          </c:cat>
          <c:val>
            <c:numRef>
              <c:f>'Generation (TWh)'!$J$46:$J$58</c:f>
              <c:numCache>
                <c:formatCode>0.000</c:formatCode>
                <c:ptCount val="13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478968"/>
        <c:axId val="2126456152"/>
      </c:areaChart>
      <c:lineChart>
        <c:grouping val="standard"/>
        <c:varyColors val="0"/>
        <c:ser>
          <c:idx val="8"/>
          <c:order val="6"/>
          <c:spPr>
            <a:ln>
              <a:solidFill>
                <a:schemeClr val="tx1"/>
              </a:solidFill>
            </a:ln>
          </c:spPr>
          <c:marker>
            <c:spPr>
              <a:noFill/>
              <a:ln>
                <a:noFill/>
              </a:ln>
            </c:spPr>
          </c:marker>
          <c:val>
            <c:numRef>
              <c:f>'Generation (TWh)'!$C$46:$C$58</c:f>
              <c:numCache>
                <c:formatCode>0.000</c:formatCode>
                <c:ptCount val="13"/>
              </c:numCache>
            </c:numRef>
          </c:val>
          <c:smooth val="0"/>
        </c:ser>
        <c:ser>
          <c:idx val="6"/>
          <c:order val="7"/>
          <c:spPr>
            <a:ln>
              <a:solidFill>
                <a:schemeClr val="tx1"/>
              </a:solidFill>
              <a:prstDash val="sysDash"/>
            </a:ln>
          </c:spPr>
          <c:marker>
            <c:spPr>
              <a:noFill/>
              <a:ln>
                <a:noFill/>
              </a:ln>
            </c:spPr>
          </c:marker>
          <c:val>
            <c:numRef>
              <c:f>'Generation (TWh)'!$K$46:$K$58</c:f>
              <c:numCache>
                <c:formatCode>0.000</c:formatCode>
                <c:ptCount val="13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2478968"/>
        <c:axId val="2126456152"/>
      </c:lineChart>
      <c:catAx>
        <c:axId val="2122478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1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126456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6456152"/>
        <c:scaling>
          <c:orientation val="minMax"/>
          <c:max val="5000.0"/>
          <c:min val="0.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1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122478968"/>
        <c:crosses val="autoZero"/>
        <c:crossBetween val="midCat"/>
        <c:majorUnit val="1000.0"/>
      </c:valAx>
      <c:spPr>
        <a:noFill/>
        <a:ln w="25400">
          <a:solidFill>
            <a:schemeClr val="tx1"/>
          </a:solidFill>
          <a:prstDash val="solid"/>
        </a:ln>
      </c:spPr>
    </c:plotArea>
    <c:plotVisOnly val="0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chemeClr val="bg1"/>
                </a:solidFill>
                <a:latin typeface="Verdana"/>
                <a:ea typeface="Verdana"/>
                <a:cs typeface="Verdana"/>
              </a:defRPr>
            </a:pPr>
            <a:r>
              <a:rPr lang="en-US" sz="1200" b="1" i="0" strike="noStrike">
                <a:solidFill>
                  <a:schemeClr val="bg1"/>
                </a:solidFill>
                <a:latin typeface="Verdana"/>
                <a:ea typeface="Verdana"/>
                <a:cs typeface="Verdana"/>
              </a:rPr>
              <a:t>Low- or no-carbon worldwide installed electrical </a:t>
            </a:r>
          </a:p>
          <a:p>
            <a:pPr>
              <a:defRPr sz="1000" b="0" i="0" u="none" strike="noStrike" baseline="0">
                <a:solidFill>
                  <a:schemeClr val="bg1"/>
                </a:solidFill>
                <a:latin typeface="Verdana"/>
                <a:ea typeface="Verdana"/>
                <a:cs typeface="Verdana"/>
              </a:defRPr>
            </a:pPr>
            <a:r>
              <a:rPr lang="en-US" sz="1200" b="1" i="0" strike="noStrike">
                <a:solidFill>
                  <a:schemeClr val="bg1"/>
                </a:solidFill>
                <a:latin typeface="Verdana"/>
                <a:ea typeface="Verdana"/>
                <a:cs typeface="Verdana"/>
              </a:rPr>
              <a:t>generating capacity (except large hydro)</a:t>
            </a:r>
          </a:p>
        </c:rich>
      </c:tx>
      <c:layout>
        <c:manualLayout>
          <c:xMode val="edge"/>
          <c:yMode val="edge"/>
          <c:x val="0.145185167877754"/>
          <c:y val="0.013071895424836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711111111111111"/>
          <c:y val="0.111111111111111"/>
          <c:w val="0.622222222222222"/>
          <c:h val="0.773420479302832"/>
        </c:manualLayout>
      </c:layout>
      <c:areaChart>
        <c:grouping val="stacked"/>
        <c:varyColors val="0"/>
        <c:ser>
          <c:idx val="0"/>
          <c:order val="0"/>
          <c:spPr>
            <a:solidFill>
              <a:srgbClr val="0000D4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'Capacity (TW)'!$B$19:$B$32</c:f>
              <c:numCache>
                <c:formatCode>General</c:formatCode>
                <c:ptCount val="14"/>
                <c:pt idx="0">
                  <c:v>2000.0</c:v>
                </c:pt>
                <c:pt idx="1">
                  <c:v>2001.0</c:v>
                </c:pt>
                <c:pt idx="2">
                  <c:v>2002.0</c:v>
                </c:pt>
                <c:pt idx="3">
                  <c:v>2003.0</c:v>
                </c:pt>
                <c:pt idx="4">
                  <c:v>2004.0</c:v>
                </c:pt>
                <c:pt idx="5">
                  <c:v>2005.0</c:v>
                </c:pt>
                <c:pt idx="6">
                  <c:v>2006.0</c:v>
                </c:pt>
                <c:pt idx="7">
                  <c:v>2007.0</c:v>
                </c:pt>
                <c:pt idx="8">
                  <c:v>2008.0</c:v>
                </c:pt>
                <c:pt idx="9">
                  <c:v>2009.0</c:v>
                </c:pt>
                <c:pt idx="10">
                  <c:v>2010.0</c:v>
                </c:pt>
                <c:pt idx="11">
                  <c:v>2011.0</c:v>
                </c:pt>
                <c:pt idx="12">
                  <c:v>2012.0</c:v>
                </c:pt>
                <c:pt idx="13">
                  <c:v>2013.0</c:v>
                </c:pt>
              </c:numCache>
            </c:numRef>
          </c:cat>
          <c:val>
            <c:numRef>
              <c:f>'Capacity (TW)'!$D$19:$D$32</c:f>
              <c:numCache>
                <c:formatCode>_(* #,##0.00_);_(* \(#,##0.00\);_(* "-"??_);_(@_)</c:formatCode>
                <c:ptCount val="14"/>
                <c:pt idx="0">
                  <c:v>17.4</c:v>
                </c:pt>
                <c:pt idx="1">
                  <c:v>23.9</c:v>
                </c:pt>
                <c:pt idx="2">
                  <c:v>31.1</c:v>
                </c:pt>
                <c:pt idx="3">
                  <c:v>39.431</c:v>
                </c:pt>
                <c:pt idx="4">
                  <c:v>47.62</c:v>
                </c:pt>
                <c:pt idx="5">
                  <c:v>59.091</c:v>
                </c:pt>
                <c:pt idx="6">
                  <c:v>74.006</c:v>
                </c:pt>
                <c:pt idx="7">
                  <c:v>93.639</c:v>
                </c:pt>
                <c:pt idx="8">
                  <c:v>120.267</c:v>
                </c:pt>
                <c:pt idx="9">
                  <c:v>158.864</c:v>
                </c:pt>
                <c:pt idx="10">
                  <c:v>197.686</c:v>
                </c:pt>
                <c:pt idx="11">
                  <c:v>238.035</c:v>
                </c:pt>
                <c:pt idx="12">
                  <c:v>282.43</c:v>
                </c:pt>
                <c:pt idx="13">
                  <c:v>318.105</c:v>
                </c:pt>
              </c:numCache>
            </c:numRef>
          </c:val>
        </c:ser>
        <c:ser>
          <c:idx val="1"/>
          <c:order val="1"/>
          <c:spPr>
            <a:solidFill>
              <a:srgbClr val="DD2D32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'Capacity (TW)'!$B$19:$B$32</c:f>
              <c:numCache>
                <c:formatCode>General</c:formatCode>
                <c:ptCount val="14"/>
                <c:pt idx="0">
                  <c:v>2000.0</c:v>
                </c:pt>
                <c:pt idx="1">
                  <c:v>2001.0</c:v>
                </c:pt>
                <c:pt idx="2">
                  <c:v>2002.0</c:v>
                </c:pt>
                <c:pt idx="3">
                  <c:v>2003.0</c:v>
                </c:pt>
                <c:pt idx="4">
                  <c:v>2004.0</c:v>
                </c:pt>
                <c:pt idx="5">
                  <c:v>2005.0</c:v>
                </c:pt>
                <c:pt idx="6">
                  <c:v>2006.0</c:v>
                </c:pt>
                <c:pt idx="7">
                  <c:v>2007.0</c:v>
                </c:pt>
                <c:pt idx="8">
                  <c:v>2008.0</c:v>
                </c:pt>
                <c:pt idx="9">
                  <c:v>2009.0</c:v>
                </c:pt>
                <c:pt idx="10">
                  <c:v>2010.0</c:v>
                </c:pt>
                <c:pt idx="11">
                  <c:v>2011.0</c:v>
                </c:pt>
                <c:pt idx="12">
                  <c:v>2012.0</c:v>
                </c:pt>
                <c:pt idx="13">
                  <c:v>2013.0</c:v>
                </c:pt>
              </c:numCache>
            </c:numRef>
          </c:cat>
          <c:val>
            <c:numRef>
              <c:f>'Capacity (TW)'!#REF!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</c:ser>
        <c:ser>
          <c:idx val="2"/>
          <c:order val="2"/>
          <c:spPr>
            <a:solidFill>
              <a:srgbClr val="99CC00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'Capacity (TW)'!$B$19:$B$32</c:f>
              <c:numCache>
                <c:formatCode>General</c:formatCode>
                <c:ptCount val="14"/>
                <c:pt idx="0">
                  <c:v>2000.0</c:v>
                </c:pt>
                <c:pt idx="1">
                  <c:v>2001.0</c:v>
                </c:pt>
                <c:pt idx="2">
                  <c:v>2002.0</c:v>
                </c:pt>
                <c:pt idx="3">
                  <c:v>2003.0</c:v>
                </c:pt>
                <c:pt idx="4">
                  <c:v>2004.0</c:v>
                </c:pt>
                <c:pt idx="5">
                  <c:v>2005.0</c:v>
                </c:pt>
                <c:pt idx="6">
                  <c:v>2006.0</c:v>
                </c:pt>
                <c:pt idx="7">
                  <c:v>2007.0</c:v>
                </c:pt>
                <c:pt idx="8">
                  <c:v>2008.0</c:v>
                </c:pt>
                <c:pt idx="9">
                  <c:v>2009.0</c:v>
                </c:pt>
                <c:pt idx="10">
                  <c:v>2010.0</c:v>
                </c:pt>
                <c:pt idx="11">
                  <c:v>2011.0</c:v>
                </c:pt>
                <c:pt idx="12">
                  <c:v>2012.0</c:v>
                </c:pt>
                <c:pt idx="13">
                  <c:v>2013.0</c:v>
                </c:pt>
              </c:numCache>
            </c:numRef>
          </c:cat>
          <c:val>
            <c:numRef>
              <c:f>'Capacity (TW)'!#REF!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</c:ser>
        <c:ser>
          <c:idx val="3"/>
          <c:order val="3"/>
          <c:spPr>
            <a:solidFill>
              <a:schemeClr val="bg1">
                <a:lumMod val="75000"/>
              </a:schemeClr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'Capacity (TW)'!$B$19:$B$32</c:f>
              <c:numCache>
                <c:formatCode>General</c:formatCode>
                <c:ptCount val="14"/>
                <c:pt idx="0">
                  <c:v>2000.0</c:v>
                </c:pt>
                <c:pt idx="1">
                  <c:v>2001.0</c:v>
                </c:pt>
                <c:pt idx="2">
                  <c:v>2002.0</c:v>
                </c:pt>
                <c:pt idx="3">
                  <c:v>2003.0</c:v>
                </c:pt>
                <c:pt idx="4">
                  <c:v>2004.0</c:v>
                </c:pt>
                <c:pt idx="5">
                  <c:v>2005.0</c:v>
                </c:pt>
                <c:pt idx="6">
                  <c:v>2006.0</c:v>
                </c:pt>
                <c:pt idx="7">
                  <c:v>2007.0</c:v>
                </c:pt>
                <c:pt idx="8">
                  <c:v>2008.0</c:v>
                </c:pt>
                <c:pt idx="9">
                  <c:v>2009.0</c:v>
                </c:pt>
                <c:pt idx="10">
                  <c:v>2010.0</c:v>
                </c:pt>
                <c:pt idx="11">
                  <c:v>2011.0</c:v>
                </c:pt>
                <c:pt idx="12">
                  <c:v>2012.0</c:v>
                </c:pt>
                <c:pt idx="13">
                  <c:v>2013.0</c:v>
                </c:pt>
              </c:numCache>
            </c:numRef>
          </c:cat>
          <c:val>
            <c:numRef>
              <c:f>'Capacity (TW)'!#REF!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</c:ser>
        <c:ser>
          <c:idx val="4"/>
          <c:order val="4"/>
          <c:spPr>
            <a:solidFill>
              <a:srgbClr val="6711FF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'Capacity (TW)'!$B$19:$B$32</c:f>
              <c:numCache>
                <c:formatCode>General</c:formatCode>
                <c:ptCount val="14"/>
                <c:pt idx="0">
                  <c:v>2000.0</c:v>
                </c:pt>
                <c:pt idx="1">
                  <c:v>2001.0</c:v>
                </c:pt>
                <c:pt idx="2">
                  <c:v>2002.0</c:v>
                </c:pt>
                <c:pt idx="3">
                  <c:v>2003.0</c:v>
                </c:pt>
                <c:pt idx="4">
                  <c:v>2004.0</c:v>
                </c:pt>
                <c:pt idx="5">
                  <c:v>2005.0</c:v>
                </c:pt>
                <c:pt idx="6">
                  <c:v>2006.0</c:v>
                </c:pt>
                <c:pt idx="7">
                  <c:v>2007.0</c:v>
                </c:pt>
                <c:pt idx="8">
                  <c:v>2008.0</c:v>
                </c:pt>
                <c:pt idx="9">
                  <c:v>2009.0</c:v>
                </c:pt>
                <c:pt idx="10">
                  <c:v>2010.0</c:v>
                </c:pt>
                <c:pt idx="11">
                  <c:v>2011.0</c:v>
                </c:pt>
                <c:pt idx="12">
                  <c:v>2012.0</c:v>
                </c:pt>
                <c:pt idx="13">
                  <c:v>2013.0</c:v>
                </c:pt>
              </c:numCache>
            </c:numRef>
          </c:cat>
          <c:val>
            <c:numRef>
              <c:f>'Capacity (TW)'!#REF!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</c:ser>
        <c:ser>
          <c:idx val="5"/>
          <c:order val="5"/>
          <c:spPr>
            <a:solidFill>
              <a:srgbClr val="FEA746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'Capacity (TW)'!$B$19:$B$32</c:f>
              <c:numCache>
                <c:formatCode>General</c:formatCode>
                <c:ptCount val="14"/>
                <c:pt idx="0">
                  <c:v>2000.0</c:v>
                </c:pt>
                <c:pt idx="1">
                  <c:v>2001.0</c:v>
                </c:pt>
                <c:pt idx="2">
                  <c:v>2002.0</c:v>
                </c:pt>
                <c:pt idx="3">
                  <c:v>2003.0</c:v>
                </c:pt>
                <c:pt idx="4">
                  <c:v>2004.0</c:v>
                </c:pt>
                <c:pt idx="5">
                  <c:v>2005.0</c:v>
                </c:pt>
                <c:pt idx="6">
                  <c:v>2006.0</c:v>
                </c:pt>
                <c:pt idx="7">
                  <c:v>2007.0</c:v>
                </c:pt>
                <c:pt idx="8">
                  <c:v>2008.0</c:v>
                </c:pt>
                <c:pt idx="9">
                  <c:v>2009.0</c:v>
                </c:pt>
                <c:pt idx="10">
                  <c:v>2010.0</c:v>
                </c:pt>
                <c:pt idx="11">
                  <c:v>2011.0</c:v>
                </c:pt>
                <c:pt idx="12">
                  <c:v>2012.0</c:v>
                </c:pt>
                <c:pt idx="13">
                  <c:v>2013.0</c:v>
                </c:pt>
              </c:numCache>
            </c:numRef>
          </c:cat>
          <c:val>
            <c:numRef>
              <c:f>'Capacity (TW)'!#REF!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020440"/>
        <c:axId val="2122506536"/>
      </c:areaChart>
      <c:lineChart>
        <c:grouping val="standard"/>
        <c:varyColors val="0"/>
        <c:ser>
          <c:idx val="6"/>
          <c:order val="6"/>
          <c:spPr>
            <a:ln>
              <a:solidFill>
                <a:schemeClr val="bg1"/>
              </a:solidFill>
            </a:ln>
          </c:spPr>
          <c:marker>
            <c:spPr>
              <a:ln>
                <a:noFill/>
              </a:ln>
            </c:spPr>
          </c:marker>
          <c:cat>
            <c:multiLvlStrRef>
              <c:f>'Capacity (TW)'!#REF!</c:f>
            </c:multiLvlStrRef>
          </c:cat>
          <c:val>
            <c:numRef>
              <c:f>'Capacity (TW)'!#REF!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  <c:smooth val="0"/>
        </c:ser>
        <c:ser>
          <c:idx val="7"/>
          <c:order val="7"/>
          <c:spPr>
            <a:ln>
              <a:solidFill>
                <a:schemeClr val="bg1"/>
              </a:solidFill>
              <a:prstDash val="sysDash"/>
            </a:ln>
          </c:spPr>
          <c:marker>
            <c:symbol val="none"/>
          </c:marker>
          <c:val>
            <c:numRef>
              <c:f>'Capacity (TW)'!#REF!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3020440"/>
        <c:axId val="2122506536"/>
      </c:lineChart>
      <c:catAx>
        <c:axId val="2123020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25400">
            <a:solidFill>
              <a:schemeClr val="bg1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bg1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122506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2506536"/>
        <c:scaling>
          <c:orientation val="minMax"/>
          <c:max val="1000.0"/>
          <c:min val="0.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25400">
            <a:solidFill>
              <a:schemeClr val="bg1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bg1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123020440"/>
        <c:crosses val="autoZero"/>
        <c:crossBetween val="midCat"/>
        <c:majorUnit val="200.0"/>
      </c:valAx>
      <c:spPr>
        <a:noFill/>
        <a:ln w="25400">
          <a:solidFill>
            <a:schemeClr val="bg1"/>
          </a:solidFill>
          <a:prstDash val="solid"/>
        </a:ln>
      </c:spPr>
    </c:plotArea>
    <c:plotVisOnly val="0"/>
    <c:dispBlanksAs val="zero"/>
    <c:showDLblsOverMax val="0"/>
  </c:chart>
  <c:spPr>
    <a:solidFill>
      <a:schemeClr val="tx1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US" sz="1200" b="1" i="0" strike="noStrike">
                <a:solidFill>
                  <a:srgbClr val="000000"/>
                </a:solidFill>
                <a:latin typeface="Verdana"/>
                <a:ea typeface="Verdana"/>
                <a:cs typeface="Verdana"/>
              </a:rPr>
              <a:t>Low- or no-carbon worldwide installed electrical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US" sz="1200" b="1" i="0" strike="noStrike">
                <a:solidFill>
                  <a:srgbClr val="000000"/>
                </a:solidFill>
                <a:latin typeface="Verdana"/>
                <a:ea typeface="Verdana"/>
                <a:cs typeface="Verdana"/>
              </a:rPr>
              <a:t>generating capacity (except large hydro)</a:t>
            </a:r>
          </a:p>
        </c:rich>
      </c:tx>
      <c:layout>
        <c:manualLayout>
          <c:xMode val="edge"/>
          <c:yMode val="edge"/>
          <c:x val="0.145185167877754"/>
          <c:y val="0.013071895424836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711111111111111"/>
          <c:y val="0.111111111111111"/>
          <c:w val="0.622222222222222"/>
          <c:h val="0.773420479302832"/>
        </c:manualLayout>
      </c:layout>
      <c:areaChart>
        <c:grouping val="stacked"/>
        <c:varyColors val="0"/>
        <c:ser>
          <c:idx val="0"/>
          <c:order val="0"/>
          <c:spPr>
            <a:solidFill>
              <a:srgbClr val="0000D4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multiLvlStrRef>
              <c:f>'Capacity (TW)'!#REF!</c:f>
            </c:multiLvlStrRef>
          </c:cat>
          <c:val>
            <c:numRef>
              <c:f>'Capacity (TW)'!#REF!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</c:ser>
        <c:ser>
          <c:idx val="1"/>
          <c:order val="1"/>
          <c:spPr>
            <a:solidFill>
              <a:srgbClr val="DD2D32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multiLvlStrRef>
              <c:f>'Capacity (TW)'!#REF!</c:f>
            </c:multiLvlStrRef>
          </c:cat>
          <c:val>
            <c:numRef>
              <c:f>'Capacity (TW)'!#REF!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</c:ser>
        <c:ser>
          <c:idx val="2"/>
          <c:order val="2"/>
          <c:spPr>
            <a:solidFill>
              <a:srgbClr val="99CC00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multiLvlStrRef>
              <c:f>'Capacity (TW)'!#REF!</c:f>
            </c:multiLvlStrRef>
          </c:cat>
          <c:val>
            <c:numRef>
              <c:f>'Capacity (TW)'!#REF!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</c:ser>
        <c:ser>
          <c:idx val="3"/>
          <c:order val="3"/>
          <c:spPr>
            <a:solidFill>
              <a:schemeClr val="tx1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multiLvlStrRef>
              <c:f>'Capacity (TW)'!#REF!</c:f>
            </c:multiLvlStrRef>
          </c:cat>
          <c:val>
            <c:numRef>
              <c:f>'Capacity (TW)'!#REF!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</c:ser>
        <c:ser>
          <c:idx val="4"/>
          <c:order val="4"/>
          <c:spPr>
            <a:solidFill>
              <a:srgbClr val="6711FF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multiLvlStrRef>
              <c:f>'Capacity (TW)'!#REF!</c:f>
            </c:multiLvlStrRef>
          </c:cat>
          <c:val>
            <c:numRef>
              <c:f>'Capacity (TW)'!#REF!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</c:ser>
        <c:ser>
          <c:idx val="5"/>
          <c:order val="5"/>
          <c:spPr>
            <a:solidFill>
              <a:srgbClr val="FEA746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multiLvlStrRef>
              <c:f>'Capacity (TW)'!#REF!</c:f>
            </c:multiLvlStrRef>
          </c:cat>
          <c:val>
            <c:numRef>
              <c:f>'Capacity (TW)'!#REF!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1807496"/>
        <c:axId val="-2131778312"/>
      </c:areaChart>
      <c:lineChart>
        <c:grouping val="standard"/>
        <c:varyColors val="0"/>
        <c:ser>
          <c:idx val="6"/>
          <c:order val="6"/>
          <c:spPr>
            <a:ln>
              <a:solidFill>
                <a:schemeClr val="tx1"/>
              </a:solidFill>
            </a:ln>
          </c:spPr>
          <c:marker>
            <c:spPr>
              <a:ln>
                <a:noFill/>
              </a:ln>
            </c:spPr>
          </c:marker>
          <c:cat>
            <c:multiLvlStrRef>
              <c:f>'Capacity (TW)'!#REF!</c:f>
            </c:multiLvlStrRef>
          </c:cat>
          <c:val>
            <c:numRef>
              <c:f>'Capacity (TW)'!#REF!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  <c:smooth val="0"/>
        </c:ser>
        <c:ser>
          <c:idx val="7"/>
          <c:order val="7"/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val>
            <c:numRef>
              <c:f>'Capacity (TW)'!#REF!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31807496"/>
        <c:axId val="-2131778312"/>
      </c:lineChart>
      <c:catAx>
        <c:axId val="-2131807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-2131778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2131778312"/>
        <c:scaling>
          <c:orientation val="minMax"/>
          <c:max val="1000.0"/>
          <c:min val="0.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-2131807496"/>
        <c:crosses val="autoZero"/>
        <c:crossBetween val="midCat"/>
        <c:majorUnit val="200.0"/>
      </c:valAx>
      <c:spPr>
        <a:noFill/>
        <a:ln w="25400">
          <a:solidFill>
            <a:srgbClr val="000000"/>
          </a:solidFill>
          <a:prstDash val="solid"/>
        </a:ln>
      </c:spPr>
    </c:plotArea>
    <c:plotVisOnly val="0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948148148148148"/>
          <c:y val="0.122004357298475"/>
          <c:w val="0.611851851851852"/>
          <c:h val="0.773420479302832"/>
        </c:manualLayout>
      </c:layout>
      <c:areaChart>
        <c:grouping val="stacked"/>
        <c:varyColors val="0"/>
        <c:ser>
          <c:idx val="0"/>
          <c:order val="0"/>
          <c:tx>
            <c:v>Wind</c:v>
          </c:tx>
          <c:spPr>
            <a:solidFill>
              <a:srgbClr val="0000D4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'Generation (TWh)'!$B$46:$B$56</c:f>
              <c:numCache>
                <c:formatCode>General</c:formatCode>
                <c:ptCount val="11"/>
              </c:numCache>
            </c:numRef>
          </c:cat>
          <c:val>
            <c:numRef>
              <c:f>'Generation (TWh)'!$D$46:$D$56</c:f>
              <c:numCache>
                <c:formatCode>0.000</c:formatCode>
                <c:ptCount val="11"/>
              </c:numCache>
            </c:numRef>
          </c:val>
        </c:ser>
        <c:ser>
          <c:idx val="1"/>
          <c:order val="1"/>
          <c:tx>
            <c:v>Small Hydro (&lt;10MW)</c:v>
          </c:tx>
          <c:spPr>
            <a:solidFill>
              <a:srgbClr val="DD2D32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'Generation (TWh)'!$B$46:$B$56</c:f>
              <c:numCache>
                <c:formatCode>General</c:formatCode>
                <c:ptCount val="11"/>
              </c:numCache>
            </c:numRef>
          </c:cat>
          <c:val>
            <c:numRef>
              <c:f>'Generation (TWh)'!$E$46:$E$56</c:f>
              <c:numCache>
                <c:formatCode>0.000</c:formatCode>
                <c:ptCount val="11"/>
              </c:numCache>
            </c:numRef>
          </c:val>
        </c:ser>
        <c:ser>
          <c:idx val="2"/>
          <c:order val="2"/>
          <c:tx>
            <c:v>Biomass</c:v>
          </c:tx>
          <c:spPr>
            <a:solidFill>
              <a:srgbClr val="99CC00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'Generation (TWh)'!$B$46:$B$56</c:f>
              <c:numCache>
                <c:formatCode>General</c:formatCode>
                <c:ptCount val="11"/>
              </c:numCache>
            </c:numRef>
          </c:cat>
          <c:val>
            <c:numRef>
              <c:f>'Generation (TWh)'!$F$46:$F$56</c:f>
              <c:numCache>
                <c:formatCode>0.000</c:formatCode>
                <c:ptCount val="11"/>
              </c:numCache>
            </c:numRef>
          </c:val>
        </c:ser>
        <c:ser>
          <c:idx val="3"/>
          <c:order val="3"/>
          <c:tx>
            <c:v>Photovoltaic</c:v>
          </c:tx>
          <c:spPr>
            <a:solidFill>
              <a:srgbClr val="000000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'Generation (TWh)'!$B$46:$B$56</c:f>
              <c:numCache>
                <c:formatCode>General</c:formatCode>
                <c:ptCount val="11"/>
              </c:numCache>
            </c:numRef>
          </c:cat>
          <c:val>
            <c:numRef>
              <c:f>'Generation (TWh)'!$G$46:$G$56</c:f>
              <c:numCache>
                <c:formatCode>0.000</c:formatCode>
                <c:ptCount val="11"/>
              </c:numCache>
            </c:numRef>
          </c:val>
        </c:ser>
        <c:ser>
          <c:idx val="4"/>
          <c:order val="4"/>
          <c:tx>
            <c:v>Geothermal</c:v>
          </c:tx>
          <c:spPr>
            <a:solidFill>
              <a:srgbClr val="6711FF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'Generation (TWh)'!$B$46:$B$56</c:f>
              <c:numCache>
                <c:formatCode>General</c:formatCode>
                <c:ptCount val="11"/>
              </c:numCache>
            </c:numRef>
          </c:cat>
          <c:val>
            <c:numRef>
              <c:f>'Generation (TWh)'!$H$46:$H$56</c:f>
              <c:numCache>
                <c:formatCode>0.000</c:formatCode>
                <c:ptCount val="11"/>
              </c:numCache>
            </c:numRef>
          </c:val>
        </c:ser>
        <c:ser>
          <c:idx val="5"/>
          <c:order val="5"/>
          <c:tx>
            <c:v>Non-Biomass Cogeneration</c:v>
          </c:tx>
          <c:spPr>
            <a:solidFill>
              <a:srgbClr val="FEA746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'Generation (TWh)'!$B$46:$B$56</c:f>
              <c:numCache>
                <c:formatCode>General</c:formatCode>
                <c:ptCount val="11"/>
              </c:numCache>
            </c:numRef>
          </c:cat>
          <c:val>
            <c:numRef>
              <c:f>'Generation (TWh)'!$J$46:$J$56</c:f>
              <c:numCache>
                <c:formatCode>0.000</c:formatCode>
                <c:ptCount val="11"/>
              </c:numCache>
            </c:numRef>
          </c:val>
        </c:ser>
        <c:ser>
          <c:idx val="10"/>
          <c:order val="7"/>
          <c:tx>
            <c:v>Nuclear</c:v>
          </c:tx>
          <c:cat>
            <c:numRef>
              <c:f>'Generation (TWh)'!$B$46:$B$56</c:f>
              <c:numCache>
                <c:formatCode>General</c:formatCode>
                <c:ptCount val="11"/>
              </c:numCache>
            </c:numRef>
          </c:cat>
          <c:val>
            <c:numRef>
              <c:f>'Generation (TWh)'!$C$46:$C$56</c:f>
              <c:numCache>
                <c:formatCode>0.000</c:formatCode>
                <c:ptCount val="11"/>
              </c:numCache>
            </c:numRef>
          </c:val>
        </c:ser>
        <c:ser>
          <c:idx val="9"/>
          <c:order val="8"/>
          <c:tx>
            <c:v>Large Hydro</c:v>
          </c:tx>
          <c:cat>
            <c:numRef>
              <c:f>'Generation (TWh)'!$B$46:$B$56</c:f>
              <c:numCache>
                <c:formatCode>General</c:formatCode>
                <c:ptCount val="11"/>
              </c:numCache>
            </c:numRef>
          </c:cat>
          <c:val>
            <c:numRef>
              <c:f>'Generation (TWh)'!$M$46:$M$56</c:f>
              <c:numCache>
                <c:formatCode>0.000</c:formatCode>
                <c:ptCount val="11"/>
              </c:numCache>
            </c:numRef>
          </c:val>
        </c:ser>
        <c:ser>
          <c:idx val="8"/>
          <c:order val="10"/>
          <c:tx>
            <c:v>Fossil Fueled Except Cogeneration</c:v>
          </c:tx>
          <c:cat>
            <c:numRef>
              <c:f>'Generation (TWh)'!$B$46:$B$56</c:f>
              <c:numCache>
                <c:formatCode>General</c:formatCode>
                <c:ptCount val="11"/>
              </c:numCache>
            </c:numRef>
          </c:cat>
          <c:val>
            <c:numRef>
              <c:f>'Generation (TWh)'!$P$46:$P$56</c:f>
              <c:numCache>
                <c:formatCode>0.000</c:formatCode>
                <c:ptCount val="1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7452456"/>
        <c:axId val="-2117868920"/>
      </c:areaChart>
      <c:lineChart>
        <c:grouping val="standard"/>
        <c:varyColors val="0"/>
        <c:ser>
          <c:idx val="6"/>
          <c:order val="6"/>
          <c:tx>
            <c:v>Total Micropower</c:v>
          </c:tx>
          <c:spPr>
            <a:ln>
              <a:solidFill>
                <a:schemeClr val="bg1"/>
              </a:solidFill>
              <a:prstDash val="sysDash"/>
            </a:ln>
          </c:spPr>
          <c:marker>
            <c:spPr>
              <a:noFill/>
              <a:ln>
                <a:noFill/>
              </a:ln>
            </c:spPr>
          </c:marker>
          <c:cat>
            <c:numRef>
              <c:f>'Generation (TWh)'!$B$46:$B$56</c:f>
              <c:numCache>
                <c:formatCode>General</c:formatCode>
                <c:ptCount val="11"/>
              </c:numCache>
            </c:numRef>
          </c:cat>
          <c:val>
            <c:numRef>
              <c:f>'Generation (TWh)'!$K$46:$K$56</c:f>
              <c:numCache>
                <c:formatCode>0.000</c:formatCode>
                <c:ptCount val="11"/>
              </c:numCache>
            </c:numRef>
          </c:val>
          <c:smooth val="0"/>
        </c:ser>
        <c:ser>
          <c:idx val="7"/>
          <c:order val="9"/>
          <c:tx>
            <c:v>Total World Electricity Production</c:v>
          </c:tx>
          <c:spPr>
            <a:ln>
              <a:solidFill>
                <a:srgbClr val="FF00FF"/>
              </a:solidFill>
            </a:ln>
          </c:spPr>
          <c:cat>
            <c:numRef>
              <c:f>'Generation (TWh)'!$B$46:$B$56</c:f>
              <c:numCache>
                <c:formatCode>General</c:formatCode>
                <c:ptCount val="11"/>
              </c:numCache>
            </c:numRef>
          </c:cat>
          <c:val>
            <c:numRef>
              <c:f>'Generation (TWh)'!$N$46:$N$56</c:f>
              <c:numCache>
                <c:formatCode>0.000</c:formatCode>
                <c:ptCount val="1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7452456"/>
        <c:axId val="-2117868920"/>
      </c:lineChart>
      <c:catAx>
        <c:axId val="-2117452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chemeClr val="bg1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bg1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-2117868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2117868920"/>
        <c:scaling>
          <c:orientation val="minMax"/>
          <c:max val="22000.0"/>
          <c:min val="0.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25400">
            <a:solidFill>
              <a:schemeClr val="bg1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bg1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-2117452456"/>
        <c:crosses val="autoZero"/>
        <c:crossBetween val="midCat"/>
        <c:majorUnit val="2000.0"/>
        <c:minorUnit val="600.0"/>
      </c:valAx>
      <c:spPr>
        <a:noFill/>
        <a:ln w="25400">
          <a:solidFill>
            <a:schemeClr val="bg1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34674992406365"/>
          <c:y val="0.0923625478187775"/>
          <c:w val="0.25180821981822"/>
          <c:h val="0.580741083835109"/>
        </c:manualLayout>
      </c:layout>
      <c:overlay val="0"/>
      <c:spPr>
        <a:solidFill>
          <a:schemeClr val="bg1">
            <a:lumMod val="50000"/>
          </a:schemeClr>
        </a:solidFill>
      </c:spPr>
      <c:txPr>
        <a:bodyPr/>
        <a:lstStyle/>
        <a:p>
          <a:pPr>
            <a:defRPr sz="900">
              <a:solidFill>
                <a:schemeClr val="bg1"/>
              </a:solidFill>
            </a:defRPr>
          </a:pPr>
          <a:endParaRPr lang="en-US"/>
        </a:p>
      </c:txPr>
    </c:legend>
    <c:plotVisOnly val="0"/>
    <c:dispBlanksAs val="zero"/>
    <c:showDLblsOverMax val="0"/>
  </c:chart>
  <c:spPr>
    <a:solidFill>
      <a:schemeClr val="tx1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Micropower and nuclear power have swapped roles </a:t>
            </a:r>
            <a:br>
              <a:rPr lang="en-US"/>
            </a:br>
            <a:r>
              <a:rPr lang="en-US"/>
              <a:t>in percentage</a:t>
            </a:r>
            <a:r>
              <a:rPr lang="en-US" baseline="0"/>
              <a:t> of global electricity entering the grid</a:t>
            </a:r>
            <a:endParaRPr lang="en-US"/>
          </a:p>
        </c:rich>
      </c:tx>
      <c:layout>
        <c:manualLayout>
          <c:xMode val="edge"/>
          <c:yMode val="edge"/>
          <c:x val="0.176167745698454"/>
          <c:y val="0.0217687056173373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Micropower</c:v>
          </c:tx>
          <c:marker>
            <c:symbol val="none"/>
          </c:marker>
          <c:cat>
            <c:numRef>
              <c:f>'Generation (TWh)'!$B$19:$B$32</c:f>
              <c:numCache>
                <c:formatCode>General</c:formatCode>
                <c:ptCount val="14"/>
                <c:pt idx="0">
                  <c:v>2000.0</c:v>
                </c:pt>
                <c:pt idx="1">
                  <c:v>2001.0</c:v>
                </c:pt>
                <c:pt idx="2">
                  <c:v>2002.0</c:v>
                </c:pt>
                <c:pt idx="3">
                  <c:v>2003.0</c:v>
                </c:pt>
                <c:pt idx="4">
                  <c:v>2004.0</c:v>
                </c:pt>
                <c:pt idx="5">
                  <c:v>2005.0</c:v>
                </c:pt>
                <c:pt idx="6">
                  <c:v>2006.0</c:v>
                </c:pt>
                <c:pt idx="7">
                  <c:v>2007.0</c:v>
                </c:pt>
                <c:pt idx="8">
                  <c:v>2008.0</c:v>
                </c:pt>
                <c:pt idx="9">
                  <c:v>2009.0</c:v>
                </c:pt>
                <c:pt idx="10">
                  <c:v>2010.0</c:v>
                </c:pt>
                <c:pt idx="11">
                  <c:v>2011.0</c:v>
                </c:pt>
                <c:pt idx="12">
                  <c:v>2012.0</c:v>
                </c:pt>
                <c:pt idx="13">
                  <c:v>2013.0</c:v>
                </c:pt>
              </c:numCache>
            </c:numRef>
          </c:cat>
          <c:val>
            <c:numRef>
              <c:f>'Generation (TWh)'!$O$19:$O$32</c:f>
              <c:numCache>
                <c:formatCode>0%</c:formatCode>
                <c:ptCount val="14"/>
                <c:pt idx="0">
                  <c:v>0.149026448995668</c:v>
                </c:pt>
                <c:pt idx="1">
                  <c:v>0.153327755069462</c:v>
                </c:pt>
                <c:pt idx="2">
                  <c:v>0.156953389862611</c:v>
                </c:pt>
                <c:pt idx="3">
                  <c:v>0.159941617299982</c:v>
                </c:pt>
                <c:pt idx="4">
                  <c:v>0.161309486007538</c:v>
                </c:pt>
                <c:pt idx="5">
                  <c:v>0.164016275027837</c:v>
                </c:pt>
                <c:pt idx="6">
                  <c:v>0.167832962213147</c:v>
                </c:pt>
                <c:pt idx="7">
                  <c:v>0.171559580414335</c:v>
                </c:pt>
                <c:pt idx="8">
                  <c:v>0.180976700031126</c:v>
                </c:pt>
                <c:pt idx="9">
                  <c:v>0.196882102293418</c:v>
                </c:pt>
                <c:pt idx="10">
                  <c:v>0.199939515684199</c:v>
                </c:pt>
                <c:pt idx="11">
                  <c:v>0.213442459999426</c:v>
                </c:pt>
                <c:pt idx="12">
                  <c:v>0.226862027582323</c:v>
                </c:pt>
                <c:pt idx="13">
                  <c:v>0.2396515994613</c:v>
                </c:pt>
              </c:numCache>
            </c:numRef>
          </c:val>
          <c:smooth val="0"/>
        </c:ser>
        <c:ser>
          <c:idx val="1"/>
          <c:order val="1"/>
          <c:tx>
            <c:v>Nuclear</c:v>
          </c:tx>
          <c:marker>
            <c:symbol val="none"/>
          </c:marker>
          <c:cat>
            <c:numRef>
              <c:f>'Generation (TWh)'!$B$19:$B$32</c:f>
              <c:numCache>
                <c:formatCode>General</c:formatCode>
                <c:ptCount val="14"/>
                <c:pt idx="0">
                  <c:v>2000.0</c:v>
                </c:pt>
                <c:pt idx="1">
                  <c:v>2001.0</c:v>
                </c:pt>
                <c:pt idx="2">
                  <c:v>2002.0</c:v>
                </c:pt>
                <c:pt idx="3">
                  <c:v>2003.0</c:v>
                </c:pt>
                <c:pt idx="4">
                  <c:v>2004.0</c:v>
                </c:pt>
                <c:pt idx="5">
                  <c:v>2005.0</c:v>
                </c:pt>
                <c:pt idx="6">
                  <c:v>2006.0</c:v>
                </c:pt>
                <c:pt idx="7">
                  <c:v>2007.0</c:v>
                </c:pt>
                <c:pt idx="8">
                  <c:v>2008.0</c:v>
                </c:pt>
                <c:pt idx="9">
                  <c:v>2009.0</c:v>
                </c:pt>
                <c:pt idx="10">
                  <c:v>2010.0</c:v>
                </c:pt>
                <c:pt idx="11">
                  <c:v>2011.0</c:v>
                </c:pt>
                <c:pt idx="12">
                  <c:v>2012.0</c:v>
                </c:pt>
                <c:pt idx="13">
                  <c:v>2013.0</c:v>
                </c:pt>
              </c:numCache>
            </c:numRef>
          </c:cat>
          <c:val>
            <c:numRef>
              <c:f>'Generation (TWh)'!$P$19:$P$32</c:f>
              <c:numCache>
                <c:formatCode>0%</c:formatCode>
                <c:ptCount val="14"/>
                <c:pt idx="0">
                  <c:v>0.158709832980639</c:v>
                </c:pt>
                <c:pt idx="1">
                  <c:v>0.160411339679026</c:v>
                </c:pt>
                <c:pt idx="2">
                  <c:v>0.157529223656893</c:v>
                </c:pt>
                <c:pt idx="3">
                  <c:v>0.149023877709827</c:v>
                </c:pt>
                <c:pt idx="4">
                  <c:v>0.149042943365546</c:v>
                </c:pt>
                <c:pt idx="5">
                  <c:v>0.143425277682972</c:v>
                </c:pt>
                <c:pt idx="6">
                  <c:v>0.13985685917762</c:v>
                </c:pt>
                <c:pt idx="7">
                  <c:v>0.131013010375995</c:v>
                </c:pt>
                <c:pt idx="8">
                  <c:v>0.12774268271909</c:v>
                </c:pt>
                <c:pt idx="9">
                  <c:v>0.127307452348141</c:v>
                </c:pt>
                <c:pt idx="10">
                  <c:v>0.122862924119998</c:v>
                </c:pt>
                <c:pt idx="11">
                  <c:v>0.114189377511689</c:v>
                </c:pt>
                <c:pt idx="12">
                  <c:v>0.104255036050266</c:v>
                </c:pt>
                <c:pt idx="13">
                  <c:v>0.101995935486661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32852072"/>
        <c:axId val="2127442120"/>
      </c:lineChart>
      <c:catAx>
        <c:axId val="-2132852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7442120"/>
        <c:crosses val="autoZero"/>
        <c:auto val="1"/>
        <c:lblAlgn val="ctr"/>
        <c:lblOffset val="100"/>
        <c:noMultiLvlLbl val="0"/>
      </c:catAx>
      <c:valAx>
        <c:axId val="21274421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of global electricity </a:t>
                </a:r>
                <a:r>
                  <a:rPr lang="en-US" baseline="0"/>
                  <a:t>entering the grid</a:t>
                </a:r>
                <a:endParaRPr lang="en-US"/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crossAx val="-2132852072"/>
        <c:crosses val="autoZero"/>
        <c:crossBetween val="between"/>
      </c:valAx>
      <c:spPr>
        <a:noFill/>
        <a:ln w="25400">
          <a:noFill/>
        </a:ln>
      </c:spPr>
    </c:plotArea>
    <c:legend>
      <c:legendPos val="l"/>
      <c:layout>
        <c:manualLayout>
          <c:xMode val="edge"/>
          <c:yMode val="edge"/>
          <c:x val="0.124444444444444"/>
          <c:y val="0.15978829697236"/>
          <c:w val="0.158518518518519"/>
          <c:h val="0.105203688418628"/>
        </c:manualLayout>
      </c:layout>
      <c:overlay val="1"/>
    </c:legend>
    <c:plotVisOnly val="1"/>
    <c:dispBlanksAs val="gap"/>
    <c:showDLblsOverMax val="0"/>
  </c:chart>
  <c:spPr>
    <a:noFill/>
  </c:spPr>
  <c:txPr>
    <a:bodyPr/>
    <a:lstStyle/>
    <a:p>
      <a:pPr>
        <a:defRPr sz="1400">
          <a:latin typeface="Helvetica Neue"/>
          <a:cs typeface="Helvetica Neue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400" b="1"/>
            </a:pPr>
            <a:r>
              <a:rPr lang="en-US" sz="2400" b="1"/>
              <a:t>Worldwide low- or no-carbon installed electricity generation capacity</a:t>
            </a:r>
          </a:p>
        </c:rich>
      </c:tx>
      <c:overlay val="0"/>
    </c:title>
    <c:autoTitleDeleted val="0"/>
    <c:plotArea>
      <c:layout/>
      <c:areaChart>
        <c:grouping val="stacked"/>
        <c:varyColors val="0"/>
        <c:ser>
          <c:idx val="0"/>
          <c:order val="0"/>
          <c:tx>
            <c:v>Wind</c:v>
          </c:tx>
          <c:cat>
            <c:numRef>
              <c:f>'Capacity (TW)'!$B$19:$B$32</c:f>
              <c:numCache>
                <c:formatCode>General</c:formatCode>
                <c:ptCount val="14"/>
                <c:pt idx="0">
                  <c:v>2000.0</c:v>
                </c:pt>
                <c:pt idx="1">
                  <c:v>2001.0</c:v>
                </c:pt>
                <c:pt idx="2">
                  <c:v>2002.0</c:v>
                </c:pt>
                <c:pt idx="3">
                  <c:v>2003.0</c:v>
                </c:pt>
                <c:pt idx="4">
                  <c:v>2004.0</c:v>
                </c:pt>
                <c:pt idx="5">
                  <c:v>2005.0</c:v>
                </c:pt>
                <c:pt idx="6">
                  <c:v>2006.0</c:v>
                </c:pt>
                <c:pt idx="7">
                  <c:v>2007.0</c:v>
                </c:pt>
                <c:pt idx="8">
                  <c:v>2008.0</c:v>
                </c:pt>
                <c:pt idx="9">
                  <c:v>2009.0</c:v>
                </c:pt>
                <c:pt idx="10">
                  <c:v>2010.0</c:v>
                </c:pt>
                <c:pt idx="11">
                  <c:v>2011.0</c:v>
                </c:pt>
                <c:pt idx="12">
                  <c:v>2012.0</c:v>
                </c:pt>
                <c:pt idx="13">
                  <c:v>2013.0</c:v>
                </c:pt>
              </c:numCache>
            </c:numRef>
          </c:cat>
          <c:val>
            <c:numRef>
              <c:f>'Capacity (TW)'!$D$19:$D$32</c:f>
              <c:numCache>
                <c:formatCode>_(* #,##0.00_);_(* \(#,##0.00\);_(* "-"??_);_(@_)</c:formatCode>
                <c:ptCount val="14"/>
                <c:pt idx="0">
                  <c:v>17.4</c:v>
                </c:pt>
                <c:pt idx="1">
                  <c:v>23.9</c:v>
                </c:pt>
                <c:pt idx="2">
                  <c:v>31.1</c:v>
                </c:pt>
                <c:pt idx="3">
                  <c:v>39.431</c:v>
                </c:pt>
                <c:pt idx="4">
                  <c:v>47.62</c:v>
                </c:pt>
                <c:pt idx="5">
                  <c:v>59.091</c:v>
                </c:pt>
                <c:pt idx="6">
                  <c:v>74.006</c:v>
                </c:pt>
                <c:pt idx="7">
                  <c:v>93.639</c:v>
                </c:pt>
                <c:pt idx="8">
                  <c:v>120.267</c:v>
                </c:pt>
                <c:pt idx="9">
                  <c:v>158.864</c:v>
                </c:pt>
                <c:pt idx="10">
                  <c:v>197.686</c:v>
                </c:pt>
                <c:pt idx="11">
                  <c:v>238.035</c:v>
                </c:pt>
                <c:pt idx="12">
                  <c:v>282.43</c:v>
                </c:pt>
                <c:pt idx="13">
                  <c:v>318.105</c:v>
                </c:pt>
              </c:numCache>
            </c:numRef>
          </c:val>
        </c:ser>
        <c:ser>
          <c:idx val="1"/>
          <c:order val="1"/>
          <c:tx>
            <c:v>Small hydro</c:v>
          </c:tx>
          <c:cat>
            <c:numRef>
              <c:f>'Capacity (TW)'!$B$19:$B$32</c:f>
              <c:numCache>
                <c:formatCode>General</c:formatCode>
                <c:ptCount val="14"/>
                <c:pt idx="0">
                  <c:v>2000.0</c:v>
                </c:pt>
                <c:pt idx="1">
                  <c:v>2001.0</c:v>
                </c:pt>
                <c:pt idx="2">
                  <c:v>2002.0</c:v>
                </c:pt>
                <c:pt idx="3">
                  <c:v>2003.0</c:v>
                </c:pt>
                <c:pt idx="4">
                  <c:v>2004.0</c:v>
                </c:pt>
                <c:pt idx="5">
                  <c:v>2005.0</c:v>
                </c:pt>
                <c:pt idx="6">
                  <c:v>2006.0</c:v>
                </c:pt>
                <c:pt idx="7">
                  <c:v>2007.0</c:v>
                </c:pt>
                <c:pt idx="8">
                  <c:v>2008.0</c:v>
                </c:pt>
                <c:pt idx="9">
                  <c:v>2009.0</c:v>
                </c:pt>
                <c:pt idx="10">
                  <c:v>2010.0</c:v>
                </c:pt>
                <c:pt idx="11">
                  <c:v>2011.0</c:v>
                </c:pt>
                <c:pt idx="12">
                  <c:v>2012.0</c:v>
                </c:pt>
                <c:pt idx="13">
                  <c:v>2013.0</c:v>
                </c:pt>
              </c:numCache>
            </c:numRef>
          </c:cat>
          <c:val>
            <c:numRef>
              <c:f>'Capacity (TW)'!$E$19:$E$32</c:f>
              <c:numCache>
                <c:formatCode>_(* #,##0.00_);_(* \(#,##0.00\);_(* "-"??_);_(@_)</c:formatCode>
                <c:ptCount val="14"/>
                <c:pt idx="0">
                  <c:v>131.051</c:v>
                </c:pt>
                <c:pt idx="1">
                  <c:v>133.189</c:v>
                </c:pt>
                <c:pt idx="2">
                  <c:v>136.572</c:v>
                </c:pt>
                <c:pt idx="3">
                  <c:v>140.175</c:v>
                </c:pt>
                <c:pt idx="4">
                  <c:v>145.273</c:v>
                </c:pt>
                <c:pt idx="5">
                  <c:v>150.093</c:v>
                </c:pt>
                <c:pt idx="6">
                  <c:v>155.655</c:v>
                </c:pt>
                <c:pt idx="7">
                  <c:v>161.127</c:v>
                </c:pt>
                <c:pt idx="8">
                  <c:v>166.61</c:v>
                </c:pt>
                <c:pt idx="9">
                  <c:v>171.974</c:v>
                </c:pt>
                <c:pt idx="10">
                  <c:v>177.766</c:v>
                </c:pt>
                <c:pt idx="11">
                  <c:v>182.189</c:v>
                </c:pt>
                <c:pt idx="12">
                  <c:v>186.606</c:v>
                </c:pt>
                <c:pt idx="13">
                  <c:v>190.655</c:v>
                </c:pt>
              </c:numCache>
            </c:numRef>
          </c:val>
        </c:ser>
        <c:ser>
          <c:idx val="2"/>
          <c:order val="2"/>
          <c:tx>
            <c:v>Biomass</c:v>
          </c:tx>
          <c:cat>
            <c:numRef>
              <c:f>'Capacity (TW)'!$B$19:$B$32</c:f>
              <c:numCache>
                <c:formatCode>General</c:formatCode>
                <c:ptCount val="14"/>
                <c:pt idx="0">
                  <c:v>2000.0</c:v>
                </c:pt>
                <c:pt idx="1">
                  <c:v>2001.0</c:v>
                </c:pt>
                <c:pt idx="2">
                  <c:v>2002.0</c:v>
                </c:pt>
                <c:pt idx="3">
                  <c:v>2003.0</c:v>
                </c:pt>
                <c:pt idx="4">
                  <c:v>2004.0</c:v>
                </c:pt>
                <c:pt idx="5">
                  <c:v>2005.0</c:v>
                </c:pt>
                <c:pt idx="6">
                  <c:v>2006.0</c:v>
                </c:pt>
                <c:pt idx="7">
                  <c:v>2007.0</c:v>
                </c:pt>
                <c:pt idx="8">
                  <c:v>2008.0</c:v>
                </c:pt>
                <c:pt idx="9">
                  <c:v>2009.0</c:v>
                </c:pt>
                <c:pt idx="10">
                  <c:v>2010.0</c:v>
                </c:pt>
                <c:pt idx="11">
                  <c:v>2011.0</c:v>
                </c:pt>
                <c:pt idx="12">
                  <c:v>2012.0</c:v>
                </c:pt>
                <c:pt idx="13">
                  <c:v>2013.0</c:v>
                </c:pt>
              </c:numCache>
            </c:numRef>
          </c:cat>
          <c:val>
            <c:numRef>
              <c:f>'Capacity (TW)'!$F$19:$F$32</c:f>
              <c:numCache>
                <c:formatCode>_(* #,##0.00_);_(* \(#,##0.00\);_(* "-"??_);_(@_)</c:formatCode>
                <c:ptCount val="14"/>
                <c:pt idx="0">
                  <c:v>39.048</c:v>
                </c:pt>
                <c:pt idx="1">
                  <c:v>29.858</c:v>
                </c:pt>
                <c:pt idx="2">
                  <c:v>41.322</c:v>
                </c:pt>
                <c:pt idx="3">
                  <c:v>42.792</c:v>
                </c:pt>
                <c:pt idx="4">
                  <c:v>44.335</c:v>
                </c:pt>
                <c:pt idx="5">
                  <c:v>46.045</c:v>
                </c:pt>
                <c:pt idx="6">
                  <c:v>48.475</c:v>
                </c:pt>
                <c:pt idx="7">
                  <c:v>51.076</c:v>
                </c:pt>
                <c:pt idx="8">
                  <c:v>53.939</c:v>
                </c:pt>
                <c:pt idx="9">
                  <c:v>57.272</c:v>
                </c:pt>
                <c:pt idx="10">
                  <c:v>60.907</c:v>
                </c:pt>
                <c:pt idx="11">
                  <c:v>66.556</c:v>
                </c:pt>
                <c:pt idx="12">
                  <c:v>70.916</c:v>
                </c:pt>
                <c:pt idx="13">
                  <c:v>76.427</c:v>
                </c:pt>
              </c:numCache>
            </c:numRef>
          </c:val>
        </c:ser>
        <c:ser>
          <c:idx val="3"/>
          <c:order val="3"/>
          <c:tx>
            <c:v>Solar PV</c:v>
          </c:tx>
          <c:cat>
            <c:numRef>
              <c:f>'Capacity (TW)'!$B$19:$B$32</c:f>
              <c:numCache>
                <c:formatCode>General</c:formatCode>
                <c:ptCount val="14"/>
                <c:pt idx="0">
                  <c:v>2000.0</c:v>
                </c:pt>
                <c:pt idx="1">
                  <c:v>2001.0</c:v>
                </c:pt>
                <c:pt idx="2">
                  <c:v>2002.0</c:v>
                </c:pt>
                <c:pt idx="3">
                  <c:v>2003.0</c:v>
                </c:pt>
                <c:pt idx="4">
                  <c:v>2004.0</c:v>
                </c:pt>
                <c:pt idx="5">
                  <c:v>2005.0</c:v>
                </c:pt>
                <c:pt idx="6">
                  <c:v>2006.0</c:v>
                </c:pt>
                <c:pt idx="7">
                  <c:v>2007.0</c:v>
                </c:pt>
                <c:pt idx="8">
                  <c:v>2008.0</c:v>
                </c:pt>
                <c:pt idx="9">
                  <c:v>2009.0</c:v>
                </c:pt>
                <c:pt idx="10">
                  <c:v>2010.0</c:v>
                </c:pt>
                <c:pt idx="11">
                  <c:v>2011.0</c:v>
                </c:pt>
                <c:pt idx="12">
                  <c:v>2012.0</c:v>
                </c:pt>
                <c:pt idx="13">
                  <c:v>2013.0</c:v>
                </c:pt>
              </c:numCache>
            </c:numRef>
          </c:cat>
          <c:val>
            <c:numRef>
              <c:f>'Capacity (TW)'!$G$19:$G$32</c:f>
              <c:numCache>
                <c:formatCode>_(* #,##0.00_);_(* \(#,##0.00\);_(* "-"??_);_(@_)</c:formatCode>
                <c:ptCount val="14"/>
                <c:pt idx="0">
                  <c:v>1.288</c:v>
                </c:pt>
                <c:pt idx="1">
                  <c:v>1.615</c:v>
                </c:pt>
                <c:pt idx="2">
                  <c:v>2.069</c:v>
                </c:pt>
                <c:pt idx="3">
                  <c:v>2.635</c:v>
                </c:pt>
                <c:pt idx="4">
                  <c:v>3.723</c:v>
                </c:pt>
                <c:pt idx="5">
                  <c:v>5.112</c:v>
                </c:pt>
                <c:pt idx="6">
                  <c:v>6.66</c:v>
                </c:pt>
                <c:pt idx="7">
                  <c:v>9.183</c:v>
                </c:pt>
                <c:pt idx="8">
                  <c:v>15.844</c:v>
                </c:pt>
                <c:pt idx="9">
                  <c:v>23.185</c:v>
                </c:pt>
                <c:pt idx="10">
                  <c:v>40.336</c:v>
                </c:pt>
                <c:pt idx="11">
                  <c:v>70.469</c:v>
                </c:pt>
                <c:pt idx="12">
                  <c:v>100.504</c:v>
                </c:pt>
                <c:pt idx="13">
                  <c:v>138.856</c:v>
                </c:pt>
              </c:numCache>
            </c:numRef>
          </c:val>
        </c:ser>
        <c:ser>
          <c:idx val="4"/>
          <c:order val="4"/>
          <c:tx>
            <c:v>Geothermal</c:v>
          </c:tx>
          <c:cat>
            <c:numRef>
              <c:f>'Capacity (TW)'!$B$19:$B$32</c:f>
              <c:numCache>
                <c:formatCode>General</c:formatCode>
                <c:ptCount val="14"/>
                <c:pt idx="0">
                  <c:v>2000.0</c:v>
                </c:pt>
                <c:pt idx="1">
                  <c:v>2001.0</c:v>
                </c:pt>
                <c:pt idx="2">
                  <c:v>2002.0</c:v>
                </c:pt>
                <c:pt idx="3">
                  <c:v>2003.0</c:v>
                </c:pt>
                <c:pt idx="4">
                  <c:v>2004.0</c:v>
                </c:pt>
                <c:pt idx="5">
                  <c:v>2005.0</c:v>
                </c:pt>
                <c:pt idx="6">
                  <c:v>2006.0</c:v>
                </c:pt>
                <c:pt idx="7">
                  <c:v>2007.0</c:v>
                </c:pt>
                <c:pt idx="8">
                  <c:v>2008.0</c:v>
                </c:pt>
                <c:pt idx="9">
                  <c:v>2009.0</c:v>
                </c:pt>
                <c:pt idx="10">
                  <c:v>2010.0</c:v>
                </c:pt>
                <c:pt idx="11">
                  <c:v>2011.0</c:v>
                </c:pt>
                <c:pt idx="12">
                  <c:v>2012.0</c:v>
                </c:pt>
                <c:pt idx="13">
                  <c:v>2013.0</c:v>
                </c:pt>
              </c:numCache>
            </c:numRef>
          </c:cat>
          <c:val>
            <c:numRef>
              <c:f>'Capacity (TW)'!$H$19:$H$32</c:f>
              <c:numCache>
                <c:formatCode>_(* #,##0.00_);_(* \(#,##0.00\);_(* "-"??_);_(@_)</c:formatCode>
                <c:ptCount val="14"/>
                <c:pt idx="0">
                  <c:v>8.01619</c:v>
                </c:pt>
                <c:pt idx="1">
                  <c:v>8.16644</c:v>
                </c:pt>
                <c:pt idx="2">
                  <c:v>8.40344</c:v>
                </c:pt>
                <c:pt idx="3">
                  <c:v>8.55094</c:v>
                </c:pt>
                <c:pt idx="4">
                  <c:v>8.58684</c:v>
                </c:pt>
                <c:pt idx="5">
                  <c:v>8.79734</c:v>
                </c:pt>
                <c:pt idx="6">
                  <c:v>9.23441</c:v>
                </c:pt>
                <c:pt idx="7">
                  <c:v>9.60031</c:v>
                </c:pt>
                <c:pt idx="8">
                  <c:v>9.92391</c:v>
                </c:pt>
                <c:pt idx="9">
                  <c:v>10.26127</c:v>
                </c:pt>
                <c:pt idx="10">
                  <c:v>10.56877</c:v>
                </c:pt>
                <c:pt idx="11">
                  <c:v>10.75077</c:v>
                </c:pt>
                <c:pt idx="12">
                  <c:v>11.3959</c:v>
                </c:pt>
                <c:pt idx="13">
                  <c:v>12.4564</c:v>
                </c:pt>
              </c:numCache>
            </c:numRef>
          </c:val>
        </c:ser>
        <c:ser>
          <c:idx val="5"/>
          <c:order val="5"/>
          <c:tx>
            <c:v>Cogeneration</c:v>
          </c:tx>
          <c:spPr>
            <a:ln w="25400">
              <a:noFill/>
            </a:ln>
          </c:spPr>
          <c:val>
            <c:numRef>
              <c:f>'Capacity (TW)'!$J$19:$J$32</c:f>
              <c:numCache>
                <c:formatCode>_(* #,##0.00_);_(* \(#,##0.00\);_(* "-"??_);_(@_)</c:formatCode>
                <c:ptCount val="14"/>
                <c:pt idx="0">
                  <c:v>223.2398455745038</c:v>
                </c:pt>
                <c:pt idx="1">
                  <c:v>236.9173190011406</c:v>
                </c:pt>
                <c:pt idx="2">
                  <c:v>252.9338303177385</c:v>
                </c:pt>
                <c:pt idx="3">
                  <c:v>264.4070441343364</c:v>
                </c:pt>
                <c:pt idx="4">
                  <c:v>279.5945429509343</c:v>
                </c:pt>
                <c:pt idx="5">
                  <c:v>296.4234580175322</c:v>
                </c:pt>
                <c:pt idx="6">
                  <c:v>314.325</c:v>
                </c:pt>
                <c:pt idx="7">
                  <c:v>338.7147702468333</c:v>
                </c:pt>
                <c:pt idx="8">
                  <c:v>362.5490836037993</c:v>
                </c:pt>
                <c:pt idx="9">
                  <c:v>385.2183614500752</c:v>
                </c:pt>
                <c:pt idx="10">
                  <c:v>418.6022748485755</c:v>
                </c:pt>
                <c:pt idx="11">
                  <c:v>451.8428115458893</c:v>
                </c:pt>
                <c:pt idx="12">
                  <c:v>484.33798708276</c:v>
                </c:pt>
                <c:pt idx="13">
                  <c:v>524.965977969699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7239400"/>
        <c:axId val="2117419944"/>
      </c:areaChart>
      <c:lineChart>
        <c:grouping val="standard"/>
        <c:varyColors val="0"/>
        <c:ser>
          <c:idx val="6"/>
          <c:order val="6"/>
          <c:tx>
            <c:v>Nuclear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val>
            <c:numRef>
              <c:f>'Capacity (TW)'!$C$19:$C$32</c:f>
              <c:numCache>
                <c:formatCode>_(* #,##0.00_);_(* \(#,##0.00\);_(* "-"??_);_(@_)</c:formatCode>
                <c:ptCount val="14"/>
                <c:pt idx="0">
                  <c:v>351.39</c:v>
                </c:pt>
                <c:pt idx="1">
                  <c:v>352.73</c:v>
                </c:pt>
                <c:pt idx="2">
                  <c:v>358.56</c:v>
                </c:pt>
                <c:pt idx="3">
                  <c:v>360.83</c:v>
                </c:pt>
                <c:pt idx="4">
                  <c:v>366.06</c:v>
                </c:pt>
                <c:pt idx="5">
                  <c:v>369.06</c:v>
                </c:pt>
                <c:pt idx="6">
                  <c:v>371.82</c:v>
                </c:pt>
                <c:pt idx="7">
                  <c:v>371.71</c:v>
                </c:pt>
                <c:pt idx="8">
                  <c:v>371.96</c:v>
                </c:pt>
                <c:pt idx="9">
                  <c:v>373.21</c:v>
                </c:pt>
                <c:pt idx="10">
                  <c:v>375.41</c:v>
                </c:pt>
                <c:pt idx="11">
                  <c:v>380.28</c:v>
                </c:pt>
                <c:pt idx="12">
                  <c:v>374.6</c:v>
                </c:pt>
                <c:pt idx="13">
                  <c:v>377.64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7239400"/>
        <c:axId val="2117419944"/>
      </c:lineChart>
      <c:catAx>
        <c:axId val="-2117239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7419944"/>
        <c:crosses val="autoZero"/>
        <c:auto val="1"/>
        <c:lblAlgn val="ctr"/>
        <c:lblOffset val="100"/>
        <c:noMultiLvlLbl val="0"/>
      </c:catAx>
      <c:valAx>
        <c:axId val="21174199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GW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-2117239400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0"/>
  </c:chart>
  <c:txPr>
    <a:bodyPr/>
    <a:lstStyle/>
    <a:p>
      <a:pPr>
        <a:defRPr sz="1800">
          <a:latin typeface="Helvetica Neue"/>
          <a:cs typeface="Helvetica Neue"/>
        </a:defRPr>
      </a:pPr>
      <a:endParaRPr lang="en-US"/>
    </a:p>
  </c:txPr>
  <c:printSettings>
    <c:headerFooter/>
    <c:pageMargins b="1.0" l="0.75" r="0.75" t="1.0" header="0.5" footer="0.5"/>
    <c:pageSetup orientation="portrait" horizontalDpi="-4" verticalDpi="-4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400"/>
            </a:pPr>
            <a:r>
              <a:rPr lang="en-US" sz="2400"/>
              <a:t>Worldwide low- or no-carbon </a:t>
            </a:r>
            <a:r>
              <a:rPr lang="en-US" sz="2400" b="1" i="0" u="none" strike="noStrike" baseline="0">
                <a:effectLst/>
              </a:rPr>
              <a:t>gross </a:t>
            </a:r>
            <a:r>
              <a:rPr lang="en-US" sz="2400"/>
              <a:t>electricity generation</a:t>
            </a:r>
          </a:p>
        </c:rich>
      </c:tx>
      <c:overlay val="0"/>
    </c:title>
    <c:autoTitleDeleted val="0"/>
    <c:plotArea>
      <c:layout/>
      <c:areaChart>
        <c:grouping val="stacked"/>
        <c:varyColors val="0"/>
        <c:ser>
          <c:idx val="0"/>
          <c:order val="0"/>
          <c:tx>
            <c:v>Wind</c:v>
          </c:tx>
          <c:cat>
            <c:numRef>
              <c:f>'Capacity (TW)'!$B$19:$B$32</c:f>
              <c:numCache>
                <c:formatCode>General</c:formatCode>
                <c:ptCount val="14"/>
                <c:pt idx="0">
                  <c:v>2000.0</c:v>
                </c:pt>
                <c:pt idx="1">
                  <c:v>2001.0</c:v>
                </c:pt>
                <c:pt idx="2">
                  <c:v>2002.0</c:v>
                </c:pt>
                <c:pt idx="3">
                  <c:v>2003.0</c:v>
                </c:pt>
                <c:pt idx="4">
                  <c:v>2004.0</c:v>
                </c:pt>
                <c:pt idx="5">
                  <c:v>2005.0</c:v>
                </c:pt>
                <c:pt idx="6">
                  <c:v>2006.0</c:v>
                </c:pt>
                <c:pt idx="7">
                  <c:v>2007.0</c:v>
                </c:pt>
                <c:pt idx="8">
                  <c:v>2008.0</c:v>
                </c:pt>
                <c:pt idx="9">
                  <c:v>2009.0</c:v>
                </c:pt>
                <c:pt idx="10">
                  <c:v>2010.0</c:v>
                </c:pt>
                <c:pt idx="11">
                  <c:v>2011.0</c:v>
                </c:pt>
                <c:pt idx="12">
                  <c:v>2012.0</c:v>
                </c:pt>
                <c:pt idx="13">
                  <c:v>2013.0</c:v>
                </c:pt>
              </c:numCache>
            </c:numRef>
          </c:cat>
          <c:val>
            <c:numRef>
              <c:f>'Generation (TWh)'!$D$19:$D$32</c:f>
              <c:numCache>
                <c:formatCode>_(* #,##0.00_);_(* \(#,##0.00\);_(* "-"??_);_(@_)</c:formatCode>
                <c:ptCount val="14"/>
                <c:pt idx="0">
                  <c:v>29.5</c:v>
                </c:pt>
                <c:pt idx="1">
                  <c:v>38.5</c:v>
                </c:pt>
                <c:pt idx="2">
                  <c:v>53.0</c:v>
                </c:pt>
                <c:pt idx="3">
                  <c:v>63.4</c:v>
                </c:pt>
                <c:pt idx="4">
                  <c:v>85.7</c:v>
                </c:pt>
                <c:pt idx="5">
                  <c:v>104.4</c:v>
                </c:pt>
                <c:pt idx="6">
                  <c:v>133.2</c:v>
                </c:pt>
                <c:pt idx="7">
                  <c:v>170.7</c:v>
                </c:pt>
                <c:pt idx="8">
                  <c:v>219.2</c:v>
                </c:pt>
                <c:pt idx="9">
                  <c:v>277.9</c:v>
                </c:pt>
                <c:pt idx="10">
                  <c:v>348.1</c:v>
                </c:pt>
                <c:pt idx="11">
                  <c:v>440.1</c:v>
                </c:pt>
                <c:pt idx="12">
                  <c:v>521.3</c:v>
                </c:pt>
                <c:pt idx="13">
                  <c:v>628.2</c:v>
                </c:pt>
              </c:numCache>
            </c:numRef>
          </c:val>
        </c:ser>
        <c:ser>
          <c:idx val="1"/>
          <c:order val="1"/>
          <c:tx>
            <c:v>Hydro ≤ 50MW</c:v>
          </c:tx>
          <c:cat>
            <c:numRef>
              <c:f>'Capacity (TW)'!$B$19:$B$32</c:f>
              <c:numCache>
                <c:formatCode>General</c:formatCode>
                <c:ptCount val="14"/>
                <c:pt idx="0">
                  <c:v>2000.0</c:v>
                </c:pt>
                <c:pt idx="1">
                  <c:v>2001.0</c:v>
                </c:pt>
                <c:pt idx="2">
                  <c:v>2002.0</c:v>
                </c:pt>
                <c:pt idx="3">
                  <c:v>2003.0</c:v>
                </c:pt>
                <c:pt idx="4">
                  <c:v>2004.0</c:v>
                </c:pt>
                <c:pt idx="5">
                  <c:v>2005.0</c:v>
                </c:pt>
                <c:pt idx="6">
                  <c:v>2006.0</c:v>
                </c:pt>
                <c:pt idx="7">
                  <c:v>2007.0</c:v>
                </c:pt>
                <c:pt idx="8">
                  <c:v>2008.0</c:v>
                </c:pt>
                <c:pt idx="9">
                  <c:v>2009.0</c:v>
                </c:pt>
                <c:pt idx="10">
                  <c:v>2010.0</c:v>
                </c:pt>
                <c:pt idx="11">
                  <c:v>2011.0</c:v>
                </c:pt>
                <c:pt idx="12">
                  <c:v>2012.0</c:v>
                </c:pt>
                <c:pt idx="13">
                  <c:v>2013.0</c:v>
                </c:pt>
              </c:numCache>
            </c:numRef>
          </c:cat>
          <c:val>
            <c:numRef>
              <c:f>'Generation (TWh)'!$E$19:$E$32</c:f>
              <c:numCache>
                <c:formatCode>_(* #,##0.00_);_(* \(#,##0.00\);_(* "-"??_);_(@_)</c:formatCode>
                <c:ptCount val="14"/>
                <c:pt idx="0">
                  <c:v>459.5172264</c:v>
                </c:pt>
                <c:pt idx="1">
                  <c:v>461.3913972</c:v>
                </c:pt>
                <c:pt idx="2">
                  <c:v>469.9794474000001</c:v>
                </c:pt>
                <c:pt idx="3">
                  <c:v>482.0344506000001</c:v>
                </c:pt>
                <c:pt idx="4">
                  <c:v>495.9785268000001</c:v>
                </c:pt>
                <c:pt idx="5">
                  <c:v>513.6104592</c:v>
                </c:pt>
                <c:pt idx="6">
                  <c:v>531.1617444000001</c:v>
                </c:pt>
                <c:pt idx="7">
                  <c:v>550.5854472</c:v>
                </c:pt>
                <c:pt idx="8">
                  <c:v>569.7821106</c:v>
                </c:pt>
                <c:pt idx="9">
                  <c:v>588.9033864</c:v>
                </c:pt>
                <c:pt idx="10">
                  <c:v>608.0869008</c:v>
                </c:pt>
                <c:pt idx="11">
                  <c:v>627.1959042</c:v>
                </c:pt>
                <c:pt idx="12">
                  <c:v>642.6994518</c:v>
                </c:pt>
                <c:pt idx="13">
                  <c:v>657.8646318000001</c:v>
                </c:pt>
              </c:numCache>
            </c:numRef>
          </c:val>
        </c:ser>
        <c:ser>
          <c:idx val="2"/>
          <c:order val="2"/>
          <c:tx>
            <c:v>Biomass</c:v>
          </c:tx>
          <c:cat>
            <c:numRef>
              <c:f>'Capacity (TW)'!$B$19:$B$32</c:f>
              <c:numCache>
                <c:formatCode>General</c:formatCode>
                <c:ptCount val="14"/>
                <c:pt idx="0">
                  <c:v>2000.0</c:v>
                </c:pt>
                <c:pt idx="1">
                  <c:v>2001.0</c:v>
                </c:pt>
                <c:pt idx="2">
                  <c:v>2002.0</c:v>
                </c:pt>
                <c:pt idx="3">
                  <c:v>2003.0</c:v>
                </c:pt>
                <c:pt idx="4">
                  <c:v>2004.0</c:v>
                </c:pt>
                <c:pt idx="5">
                  <c:v>2005.0</c:v>
                </c:pt>
                <c:pt idx="6">
                  <c:v>2006.0</c:v>
                </c:pt>
                <c:pt idx="7">
                  <c:v>2007.0</c:v>
                </c:pt>
                <c:pt idx="8">
                  <c:v>2008.0</c:v>
                </c:pt>
                <c:pt idx="9">
                  <c:v>2009.0</c:v>
                </c:pt>
                <c:pt idx="10">
                  <c:v>2010.0</c:v>
                </c:pt>
                <c:pt idx="11">
                  <c:v>2011.0</c:v>
                </c:pt>
                <c:pt idx="12">
                  <c:v>2012.0</c:v>
                </c:pt>
                <c:pt idx="13">
                  <c:v>2013.0</c:v>
                </c:pt>
              </c:numCache>
            </c:numRef>
          </c:cat>
          <c:val>
            <c:numRef>
              <c:f>'Generation (TWh)'!$F$19:$F$32</c:f>
              <c:numCache>
                <c:formatCode>_(* #,##0.00_);_(* \(#,##0.00\);_(* "-"??_);_(@_)</c:formatCode>
                <c:ptCount val="14"/>
                <c:pt idx="0">
                  <c:v>197.160609419876</c:v>
                </c:pt>
                <c:pt idx="1">
                  <c:v>199.079502916979</c:v>
                </c:pt>
                <c:pt idx="2">
                  <c:v>214.683351675862</c:v>
                </c:pt>
                <c:pt idx="3">
                  <c:v>227.864457559222</c:v>
                </c:pt>
                <c:pt idx="4">
                  <c:v>245.51629955173</c:v>
                </c:pt>
                <c:pt idx="5">
                  <c:v>265.736272080481</c:v>
                </c:pt>
                <c:pt idx="6">
                  <c:v>281.505650303157</c:v>
                </c:pt>
                <c:pt idx="7">
                  <c:v>300.205224529746</c:v>
                </c:pt>
                <c:pt idx="8">
                  <c:v>314.156687302018</c:v>
                </c:pt>
                <c:pt idx="9">
                  <c:v>330.525590590849</c:v>
                </c:pt>
                <c:pt idx="10">
                  <c:v>366.65114241463</c:v>
                </c:pt>
                <c:pt idx="11">
                  <c:v>409.766338440303</c:v>
                </c:pt>
                <c:pt idx="12">
                  <c:v>435.025112316373</c:v>
                </c:pt>
                <c:pt idx="13">
                  <c:v>461.8408848960233</c:v>
                </c:pt>
              </c:numCache>
            </c:numRef>
          </c:val>
        </c:ser>
        <c:ser>
          <c:idx val="3"/>
          <c:order val="3"/>
          <c:tx>
            <c:v>Solar PV</c:v>
          </c:tx>
          <c:cat>
            <c:numRef>
              <c:f>'Capacity (TW)'!$B$19:$B$32</c:f>
              <c:numCache>
                <c:formatCode>General</c:formatCode>
                <c:ptCount val="14"/>
                <c:pt idx="0">
                  <c:v>2000.0</c:v>
                </c:pt>
                <c:pt idx="1">
                  <c:v>2001.0</c:v>
                </c:pt>
                <c:pt idx="2">
                  <c:v>2002.0</c:v>
                </c:pt>
                <c:pt idx="3">
                  <c:v>2003.0</c:v>
                </c:pt>
                <c:pt idx="4">
                  <c:v>2004.0</c:v>
                </c:pt>
                <c:pt idx="5">
                  <c:v>2005.0</c:v>
                </c:pt>
                <c:pt idx="6">
                  <c:v>2006.0</c:v>
                </c:pt>
                <c:pt idx="7">
                  <c:v>2007.0</c:v>
                </c:pt>
                <c:pt idx="8">
                  <c:v>2008.0</c:v>
                </c:pt>
                <c:pt idx="9">
                  <c:v>2009.0</c:v>
                </c:pt>
                <c:pt idx="10">
                  <c:v>2010.0</c:v>
                </c:pt>
                <c:pt idx="11">
                  <c:v>2011.0</c:v>
                </c:pt>
                <c:pt idx="12">
                  <c:v>2012.0</c:v>
                </c:pt>
                <c:pt idx="13">
                  <c:v>2013.0</c:v>
                </c:pt>
              </c:numCache>
            </c:numRef>
          </c:cat>
          <c:val>
            <c:numRef>
              <c:f>'Generation (TWh)'!$G$19:$G$32</c:f>
              <c:numCache>
                <c:formatCode>_(* #,##0.00_);_(* \(#,##0.00\);_(* "-"??_);_(@_)</c:formatCode>
                <c:ptCount val="14"/>
                <c:pt idx="0">
                  <c:v>1.0</c:v>
                </c:pt>
                <c:pt idx="1">
                  <c:v>1.3</c:v>
                </c:pt>
                <c:pt idx="2">
                  <c:v>1.6</c:v>
                </c:pt>
                <c:pt idx="3">
                  <c:v>2.0</c:v>
                </c:pt>
                <c:pt idx="4">
                  <c:v>2.6</c:v>
                </c:pt>
                <c:pt idx="5">
                  <c:v>3.7</c:v>
                </c:pt>
                <c:pt idx="6">
                  <c:v>5.0</c:v>
                </c:pt>
                <c:pt idx="7">
                  <c:v>6.7</c:v>
                </c:pt>
                <c:pt idx="8">
                  <c:v>11.2</c:v>
                </c:pt>
                <c:pt idx="9">
                  <c:v>19.1</c:v>
                </c:pt>
                <c:pt idx="10">
                  <c:v>30.4</c:v>
                </c:pt>
                <c:pt idx="11">
                  <c:v>58.7</c:v>
                </c:pt>
                <c:pt idx="12">
                  <c:v>93.0</c:v>
                </c:pt>
                <c:pt idx="13">
                  <c:v>124.8</c:v>
                </c:pt>
              </c:numCache>
            </c:numRef>
          </c:val>
        </c:ser>
        <c:ser>
          <c:idx val="4"/>
          <c:order val="4"/>
          <c:tx>
            <c:v>Geothermal</c:v>
          </c:tx>
          <c:cat>
            <c:numRef>
              <c:f>'Capacity (TW)'!$B$19:$B$32</c:f>
              <c:numCache>
                <c:formatCode>General</c:formatCode>
                <c:ptCount val="14"/>
                <c:pt idx="0">
                  <c:v>2000.0</c:v>
                </c:pt>
                <c:pt idx="1">
                  <c:v>2001.0</c:v>
                </c:pt>
                <c:pt idx="2">
                  <c:v>2002.0</c:v>
                </c:pt>
                <c:pt idx="3">
                  <c:v>2003.0</c:v>
                </c:pt>
                <c:pt idx="4">
                  <c:v>2004.0</c:v>
                </c:pt>
                <c:pt idx="5">
                  <c:v>2005.0</c:v>
                </c:pt>
                <c:pt idx="6">
                  <c:v>2006.0</c:v>
                </c:pt>
                <c:pt idx="7">
                  <c:v>2007.0</c:v>
                </c:pt>
                <c:pt idx="8">
                  <c:v>2008.0</c:v>
                </c:pt>
                <c:pt idx="9">
                  <c:v>2009.0</c:v>
                </c:pt>
                <c:pt idx="10">
                  <c:v>2010.0</c:v>
                </c:pt>
                <c:pt idx="11">
                  <c:v>2011.0</c:v>
                </c:pt>
                <c:pt idx="12">
                  <c:v>2012.0</c:v>
                </c:pt>
                <c:pt idx="13">
                  <c:v>2013.0</c:v>
                </c:pt>
              </c:numCache>
            </c:numRef>
          </c:cat>
          <c:val>
            <c:numRef>
              <c:f>'Generation (TWh)'!$H$19:$H$32</c:f>
              <c:numCache>
                <c:formatCode>_(* #,##0.00_);_(* \(#,##0.00\);_(* "-"??_);_(@_)</c:formatCode>
                <c:ptCount val="14"/>
                <c:pt idx="0">
                  <c:v>49.89164429339999</c:v>
                </c:pt>
                <c:pt idx="1">
                  <c:v>50.54902320114</c:v>
                </c:pt>
                <c:pt idx="2">
                  <c:v>52.06081974588</c:v>
                </c:pt>
                <c:pt idx="3">
                  <c:v>53.86311933912</c:v>
                </c:pt>
                <c:pt idx="4">
                  <c:v>55.07658172926</c:v>
                </c:pt>
                <c:pt idx="5">
                  <c:v>56.0428271406</c:v>
                </c:pt>
                <c:pt idx="6">
                  <c:v>58.24418972337001</c:v>
                </c:pt>
                <c:pt idx="7">
                  <c:v>61.47653234832</c:v>
                </c:pt>
                <c:pt idx="8">
                  <c:v>64.32803903988001</c:v>
                </c:pt>
                <c:pt idx="9">
                  <c:v>67.027492098</c:v>
                </c:pt>
                <c:pt idx="10">
                  <c:v>69.78061788389999</c:v>
                </c:pt>
                <c:pt idx="11">
                  <c:v>72.20268007632001</c:v>
                </c:pt>
                <c:pt idx="12">
                  <c:v>74.80225083213001</c:v>
                </c:pt>
                <c:pt idx="13">
                  <c:v>80.54978957819999</c:v>
                </c:pt>
              </c:numCache>
            </c:numRef>
          </c:val>
        </c:ser>
        <c:ser>
          <c:idx val="5"/>
          <c:order val="5"/>
          <c:tx>
            <c:v>Cogeneration</c:v>
          </c:tx>
          <c:spPr>
            <a:ln w="25400">
              <a:noFill/>
            </a:ln>
          </c:spPr>
          <c:val>
            <c:numRef>
              <c:f>'Generation (TWh)'!$J$19:$J$32</c:f>
              <c:numCache>
                <c:formatCode>_(* #,##0.00_);_(* \(#,##0.00\);_(* "-"??_);_(@_)</c:formatCode>
                <c:ptCount val="14"/>
                <c:pt idx="0">
                  <c:v>1554.92234579257</c:v>
                </c:pt>
                <c:pt idx="1">
                  <c:v>1645.148786197436</c:v>
                </c:pt>
                <c:pt idx="2">
                  <c:v>1748.667609613059</c:v>
                </c:pt>
                <c:pt idx="3">
                  <c:v>1856.675325845539</c:v>
                </c:pt>
                <c:pt idx="4">
                  <c:v>1946.690557501603</c:v>
                </c:pt>
                <c:pt idx="5">
                  <c:v>2059.903641965609</c:v>
                </c:pt>
                <c:pt idx="6">
                  <c:v>2183.998429131628</c:v>
                </c:pt>
                <c:pt idx="7">
                  <c:v>2325.705552878634</c:v>
                </c:pt>
                <c:pt idx="8">
                  <c:v>2501.72464302818</c:v>
                </c:pt>
                <c:pt idx="9">
                  <c:v>2672.605971116403</c:v>
                </c:pt>
                <c:pt idx="10">
                  <c:v>2856.587582222495</c:v>
                </c:pt>
                <c:pt idx="11">
                  <c:v>3098.636138965674</c:v>
                </c:pt>
                <c:pt idx="12">
                  <c:v>3338.551693929863</c:v>
                </c:pt>
                <c:pt idx="13">
                  <c:v>3589.167234467254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8181880"/>
        <c:axId val="-2118193832"/>
      </c:areaChart>
      <c:lineChart>
        <c:grouping val="standard"/>
        <c:varyColors val="0"/>
        <c:ser>
          <c:idx val="6"/>
          <c:order val="6"/>
          <c:tx>
            <c:v>Nuclear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val>
            <c:numRef>
              <c:f>'Generation (TWh)'!$C$19:$C$32</c:f>
              <c:numCache>
                <c:formatCode>_(* #,##0.00_);_(* \(#,##0.00\);_(* "-"??_);_(@_)</c:formatCode>
                <c:ptCount val="14"/>
                <c:pt idx="0">
                  <c:v>2440.92</c:v>
                </c:pt>
                <c:pt idx="1">
                  <c:v>2506.66</c:v>
                </c:pt>
                <c:pt idx="2">
                  <c:v>2549.31</c:v>
                </c:pt>
                <c:pt idx="3">
                  <c:v>2502.5</c:v>
                </c:pt>
                <c:pt idx="4">
                  <c:v>2616.24</c:v>
                </c:pt>
                <c:pt idx="5">
                  <c:v>2626.34</c:v>
                </c:pt>
                <c:pt idx="6">
                  <c:v>2660.85</c:v>
                </c:pt>
                <c:pt idx="7">
                  <c:v>2608.18</c:v>
                </c:pt>
                <c:pt idx="8">
                  <c:v>2597.81</c:v>
                </c:pt>
                <c:pt idx="9">
                  <c:v>2558.06</c:v>
                </c:pt>
                <c:pt idx="10">
                  <c:v>2629.82</c:v>
                </c:pt>
                <c:pt idx="11">
                  <c:v>2517.98</c:v>
                </c:pt>
                <c:pt idx="12">
                  <c:v>2346.19</c:v>
                </c:pt>
                <c:pt idx="13">
                  <c:v>2358.86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8181880"/>
        <c:axId val="-2118193832"/>
      </c:lineChart>
      <c:catAx>
        <c:axId val="-2118181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8193832"/>
        <c:crosses val="autoZero"/>
        <c:auto val="1"/>
        <c:lblAlgn val="ctr"/>
        <c:lblOffset val="100"/>
        <c:noMultiLvlLbl val="0"/>
      </c:catAx>
      <c:valAx>
        <c:axId val="-21181938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TWh/y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-2118181880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0"/>
  </c:chart>
  <c:txPr>
    <a:bodyPr/>
    <a:lstStyle/>
    <a:p>
      <a:pPr>
        <a:defRPr sz="1800">
          <a:latin typeface="Helvetica Neue"/>
          <a:cs typeface="Helvetica Neue"/>
        </a:defRPr>
      </a:pPr>
      <a:endParaRPr lang="en-US"/>
    </a:p>
  </c:txPr>
  <c:printSettings>
    <c:headerFooter/>
    <c:pageMargins b="1.0" l="0.75" r="0.75" t="1.0" header="0.5" footer="0.5"/>
    <c:pageSetup orientation="portrait" horizontalDpi="-4" verticalDpi="-4"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orientation="landscape" horizontalDpi="4294967292" verticalDpi="4294967292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orientation="landscape" horizontalDpi="4294967292" verticalDpi="4294967292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orientation="landscape" horizontalDpi="4294967292" verticalDpi="4294967292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orientation="landscape" horizontalDpi="4294967292" verticalDpi="4294967292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orientation="landscape" horizontalDpi="4294967292" verticalDpi="4294967292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>
    <tabColor theme="3" tint="0.39997558519241921"/>
  </sheetPr>
  <sheetViews>
    <sheetView zoomScale="144" workbookViewId="0" zoomToFit="1"/>
  </sheetViews>
  <pageMargins left="0.75" right="0.75" top="1" bottom="1" header="0.5" footer="0.5"/>
  <pageSetup orientation="landscape" horizontalDpi="4294967292" verticalDpi="4294967292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file://localhost/MegaByte/RMI/Macintosh%20HD/Desktop/+$E$29+$D$29+$D$29+$F$29+$E$14" TargetMode="External"/><Relationship Id="rId2" Type="http://schemas.openxmlformats.org/officeDocument/2006/relationships/image" Target="../media/image1.png"/><Relationship Id="rId3" Type="http://schemas.openxmlformats.org/officeDocument/2006/relationships/image" Target="../media/image2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1282700</xdr:colOff>
      <xdr:row>22</xdr:row>
      <xdr:rowOff>114300</xdr:rowOff>
    </xdr:from>
    <xdr:to>
      <xdr:col>5</xdr:col>
      <xdr:colOff>248920</xdr:colOff>
      <xdr:row>27</xdr:row>
      <xdr:rowOff>114300</xdr:rowOff>
    </xdr:to>
    <xdr:pic>
      <xdr:nvPicPr>
        <xdr:cNvPr id="2" name="Picture -1022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4889500" y="3517900"/>
          <a:ext cx="838200" cy="825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25400</xdr:colOff>
      <xdr:row>4</xdr:row>
      <xdr:rowOff>101600</xdr:rowOff>
    </xdr:from>
    <xdr:to>
      <xdr:col>3</xdr:col>
      <xdr:colOff>698500</xdr:colOff>
      <xdr:row>22</xdr:row>
      <xdr:rowOff>27940</xdr:rowOff>
    </xdr:to>
    <xdr:pic>
      <xdr:nvPicPr>
        <xdr:cNvPr id="3" name="Picture -102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000760" y="1026160"/>
          <a:ext cx="2623820" cy="318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75040" cy="583184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0.80325</cdr:x>
      <cdr:y>0.59075</cdr:y>
    </cdr:from>
    <cdr:to>
      <cdr:x>0.80925</cdr:x>
      <cdr:y>0.5995</cdr:y>
    </cdr:to>
    <cdr:sp macro="" textlink="">
      <cdr:nvSpPr>
        <cdr:cNvPr id="3113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885861" y="3443659"/>
          <a:ext cx="51435" cy="510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Verdana"/>
              <a:ea typeface="Verdana"/>
              <a:cs typeface="Verdana"/>
            </a:rPr>
            <a:t>Bio</a:t>
          </a:r>
        </a:p>
      </cdr:txBody>
    </cdr:sp>
  </cdr:relSizeAnchor>
  <cdr:relSizeAnchor xmlns:cdr="http://schemas.openxmlformats.org/drawingml/2006/chartDrawing">
    <cdr:from>
      <cdr:x>0.70286</cdr:x>
      <cdr:y>0.54918</cdr:y>
    </cdr:from>
    <cdr:to>
      <cdr:x>0.71234</cdr:x>
      <cdr:y>0.99879</cdr:y>
    </cdr:to>
    <cdr:sp macro="" textlink="">
      <cdr:nvSpPr>
        <cdr:cNvPr id="311303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04563" y="3368927"/>
          <a:ext cx="27700" cy="1769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27432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en-US" sz="1000" b="1" i="0" strike="noStrike">
            <a:solidFill>
              <a:srgbClr val="6711FF"/>
            </a:solidFill>
            <a:latin typeface="Verdana"/>
            <a:ea typeface="Verdana"/>
            <a:cs typeface="Verdana"/>
          </a:endParaRPr>
        </a:p>
      </cdr:txBody>
    </cdr:sp>
  </cdr:relSizeAnchor>
  <cdr:relSizeAnchor xmlns:cdr="http://schemas.openxmlformats.org/drawingml/2006/chartDrawing">
    <cdr:from>
      <cdr:x>0.4995</cdr:x>
      <cdr:y>0.469</cdr:y>
    </cdr:from>
    <cdr:to>
      <cdr:x>0.5115</cdr:x>
      <cdr:y>0.505</cdr:y>
    </cdr:to>
    <cdr:sp macro="" textlink="">
      <cdr:nvSpPr>
        <cdr:cNvPr id="311309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86250" y="2722283"/>
          <a:ext cx="100727" cy="212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0.42225</cdr:x>
      <cdr:y>0.89725</cdr:y>
    </cdr:from>
    <cdr:to>
      <cdr:x>0.42225</cdr:x>
      <cdr:y>0.92575</cdr:y>
    </cdr:to>
    <cdr:sp macro="" textlink="">
      <cdr:nvSpPr>
        <cdr:cNvPr id="311317" name="Text Box 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97275" y="5019027"/>
          <a:ext cx="507921" cy="2025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27432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FFFFFF"/>
              </a:solidFill>
              <a:latin typeface="Verdana"/>
              <a:ea typeface="Verdana"/>
              <a:cs typeface="Verdana"/>
            </a:rPr>
            <a:t>Actual</a:t>
          </a:r>
        </a:p>
      </cdr:txBody>
    </cdr:sp>
  </cdr:relSizeAnchor>
  <cdr:relSizeAnchor xmlns:cdr="http://schemas.openxmlformats.org/drawingml/2006/chartDrawing">
    <cdr:from>
      <cdr:x>0.62375</cdr:x>
      <cdr:y>0.89725</cdr:y>
    </cdr:from>
    <cdr:to>
      <cdr:x>0.62375</cdr:x>
      <cdr:y>0.92425</cdr:y>
    </cdr:to>
    <cdr:sp macro="" textlink="">
      <cdr:nvSpPr>
        <cdr:cNvPr id="311319" name="Text Box 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32413" y="5027730"/>
          <a:ext cx="711517" cy="2025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27432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FFFFFF"/>
              </a:solidFill>
              <a:latin typeface="Verdana"/>
              <a:ea typeface="Verdana"/>
              <a:cs typeface="Verdana"/>
            </a:rPr>
            <a:t>Projected</a:t>
          </a:r>
        </a:p>
      </cdr:txBody>
    </cdr:sp>
  </cdr:relSizeAnchor>
  <cdr:relSizeAnchor xmlns:cdr="http://schemas.openxmlformats.org/drawingml/2006/chartDrawing">
    <cdr:from>
      <cdr:x>0.712</cdr:x>
      <cdr:y>0.89375</cdr:y>
    </cdr:from>
    <cdr:to>
      <cdr:x>0.712</cdr:x>
      <cdr:y>0.921</cdr:y>
    </cdr:to>
    <cdr:sp macro="" textlink="">
      <cdr:nvSpPr>
        <cdr:cNvPr id="1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80547" y="3560279"/>
          <a:ext cx="880289" cy="8443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27432" tIns="22860" rIns="0" bIns="0" anchor="t" upright="1">
          <a:sp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1" i="0" strike="noStrike">
              <a:solidFill>
                <a:srgbClr val="6666FF"/>
              </a:solidFill>
              <a:latin typeface="Verdana"/>
              <a:ea typeface="Verdana"/>
              <a:cs typeface="Verdana"/>
            </a:rPr>
            <a:t>Geothermal</a:t>
          </a:r>
        </a:p>
      </cdr:txBody>
    </cdr:sp>
  </cdr:relSizeAnchor>
  <cdr:relSizeAnchor xmlns:cdr="http://schemas.openxmlformats.org/drawingml/2006/chartDrawing">
    <cdr:from>
      <cdr:x>0.03917</cdr:x>
      <cdr:y>0.06797</cdr:y>
    </cdr:from>
    <cdr:to>
      <cdr:x>0.0802</cdr:x>
      <cdr:y>0.09833</cdr:y>
    </cdr:to>
    <cdr:sp macro="" textlink="">
      <cdr:nvSpPr>
        <cdr:cNvPr id="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5280" y="396240"/>
          <a:ext cx="351181" cy="1769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27432" tIns="22860" rIns="0" bIns="0" anchor="t" upright="1">
          <a:sp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1" i="0" strike="noStrike">
              <a:solidFill>
                <a:schemeClr val="bg1"/>
              </a:solidFill>
              <a:latin typeface="Verdana"/>
              <a:ea typeface="Verdana"/>
              <a:cs typeface="Verdana"/>
            </a:rPr>
            <a:t>TWh</a:t>
          </a:r>
        </a:p>
      </cdr:txBody>
    </cdr:sp>
  </cdr:relSizeAnchor>
  <cdr:relSizeAnchor xmlns:cdr="http://schemas.openxmlformats.org/drawingml/2006/chartDrawing">
    <cdr:from>
      <cdr:x>0.80325</cdr:x>
      <cdr:y>0.59075</cdr:y>
    </cdr:from>
    <cdr:to>
      <cdr:x>0.80925</cdr:x>
      <cdr:y>0.5995</cdr:y>
    </cdr:to>
    <cdr:sp macro="" textlink="">
      <cdr:nvSpPr>
        <cdr:cNvPr id="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885861" y="3443659"/>
          <a:ext cx="51435" cy="510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Verdana"/>
              <a:ea typeface="Verdana"/>
              <a:cs typeface="Verdana"/>
            </a:rPr>
            <a:t>Bio</a:t>
          </a:r>
        </a:p>
      </cdr:txBody>
    </cdr:sp>
  </cdr:relSizeAnchor>
  <cdr:relSizeAnchor xmlns:cdr="http://schemas.openxmlformats.org/drawingml/2006/chartDrawing">
    <cdr:from>
      <cdr:x>0.70286</cdr:x>
      <cdr:y>0.54918</cdr:y>
    </cdr:from>
    <cdr:to>
      <cdr:x>0.71234</cdr:x>
      <cdr:y>0.99879</cdr:y>
    </cdr:to>
    <cdr:sp macro="" textlink="">
      <cdr:nvSpPr>
        <cdr:cNvPr id="3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04563" y="3368927"/>
          <a:ext cx="27700" cy="1769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27432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en-US" sz="1000" b="1" i="0" strike="noStrike">
            <a:solidFill>
              <a:srgbClr val="6711FF"/>
            </a:solidFill>
            <a:latin typeface="Verdana"/>
            <a:ea typeface="Verdana"/>
            <a:cs typeface="Verdana"/>
          </a:endParaRPr>
        </a:p>
      </cdr:txBody>
    </cdr:sp>
  </cdr:relSizeAnchor>
  <cdr:relSizeAnchor xmlns:cdr="http://schemas.openxmlformats.org/drawingml/2006/chartDrawing">
    <cdr:from>
      <cdr:x>0.4995</cdr:x>
      <cdr:y>0.469</cdr:y>
    </cdr:from>
    <cdr:to>
      <cdr:x>0.5115</cdr:x>
      <cdr:y>0.505</cdr:y>
    </cdr:to>
    <cdr:sp macro="" textlink="">
      <cdr:nvSpPr>
        <cdr:cNvPr id="4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86250" y="2722283"/>
          <a:ext cx="100727" cy="212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0.23264</cdr:x>
      <cdr:y>0.05054</cdr:y>
    </cdr:from>
    <cdr:to>
      <cdr:x>0.57804</cdr:x>
      <cdr:y>0.10109</cdr:y>
    </cdr:to>
    <cdr:sp macro="" textlink="">
      <cdr:nvSpPr>
        <cdr:cNvPr id="311316" name="Text Box 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91384" y="294636"/>
          <a:ext cx="2956536" cy="2946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prstDash val="dash"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/>
          <a:r>
            <a:rPr lang="en-US" sz="1100" b="1" i="0">
              <a:solidFill>
                <a:schemeClr val="bg1"/>
              </a:solidFill>
              <a:latin typeface="Verdana"/>
              <a:ea typeface="+mn-ea"/>
              <a:cs typeface="Verdana"/>
            </a:rPr>
            <a:t>Worldwide Electrical Output</a:t>
          </a:r>
        </a:p>
      </cdr:txBody>
    </cdr:sp>
  </cdr:relSizeAnchor>
  <cdr:relSizeAnchor xmlns:cdr="http://schemas.openxmlformats.org/drawingml/2006/chartDrawing">
    <cdr:from>
      <cdr:x>0.42225</cdr:x>
      <cdr:y>0.89725</cdr:y>
    </cdr:from>
    <cdr:to>
      <cdr:x>0.42225</cdr:x>
      <cdr:y>0.92575</cdr:y>
    </cdr:to>
    <cdr:sp macro="" textlink="">
      <cdr:nvSpPr>
        <cdr:cNvPr id="5" name="Text Box 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97275" y="5019027"/>
          <a:ext cx="507921" cy="2025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27432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FFFFFF"/>
              </a:solidFill>
              <a:latin typeface="Verdana"/>
              <a:ea typeface="Verdana"/>
              <a:cs typeface="Verdana"/>
            </a:rPr>
            <a:t>Actual</a:t>
          </a:r>
        </a:p>
      </cdr:txBody>
    </cdr:sp>
  </cdr:relSizeAnchor>
  <cdr:relSizeAnchor xmlns:cdr="http://schemas.openxmlformats.org/drawingml/2006/chartDrawing">
    <cdr:from>
      <cdr:x>0.62375</cdr:x>
      <cdr:y>0.89725</cdr:y>
    </cdr:from>
    <cdr:to>
      <cdr:x>0.62375</cdr:x>
      <cdr:y>0.92425</cdr:y>
    </cdr:to>
    <cdr:sp macro="" textlink="">
      <cdr:nvSpPr>
        <cdr:cNvPr id="6" name="Text Box 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32413" y="5027730"/>
          <a:ext cx="711517" cy="2025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27432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FFFFFF"/>
              </a:solidFill>
              <a:latin typeface="Verdana"/>
              <a:ea typeface="Verdana"/>
              <a:cs typeface="Verdana"/>
            </a:rPr>
            <a:t>Projected</a:t>
          </a:r>
        </a:p>
      </cdr:txBody>
    </cdr:sp>
  </cdr:relSizeAnchor>
  <cdr:relSizeAnchor xmlns:cdr="http://schemas.openxmlformats.org/drawingml/2006/chartDrawing">
    <cdr:from>
      <cdr:x>0.712</cdr:x>
      <cdr:y>0.89375</cdr:y>
    </cdr:from>
    <cdr:to>
      <cdr:x>0.712</cdr:x>
      <cdr:y>0.921</cdr:y>
    </cdr:to>
    <cdr:sp macro="" textlink="">
      <cdr:nvSpPr>
        <cdr:cNvPr id="7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80547" y="3560279"/>
          <a:ext cx="880289" cy="8443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27432" tIns="22860" rIns="0" bIns="0" anchor="t" upright="1">
          <a:sp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1" i="0" strike="noStrike">
              <a:solidFill>
                <a:srgbClr val="6666FF"/>
              </a:solidFill>
              <a:latin typeface="Verdana"/>
              <a:ea typeface="Verdana"/>
              <a:cs typeface="Verdana"/>
            </a:rPr>
            <a:t>Geothermal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2083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31750</xdr:colOff>
      <xdr:row>34</xdr:row>
      <xdr:rowOff>57150</xdr:rowOff>
    </xdr:from>
    <xdr:to>
      <xdr:col>15</xdr:col>
      <xdr:colOff>25400</xdr:colOff>
      <xdr:row>81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12700</xdr:rowOff>
    </xdr:from>
    <xdr:to>
      <xdr:col>16</xdr:col>
      <xdr:colOff>177800</xdr:colOff>
      <xdr:row>78</xdr:row>
      <xdr:rowOff>120650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190500</xdr:colOff>
      <xdr:row>22</xdr:row>
      <xdr:rowOff>0</xdr:rowOff>
    </xdr:from>
    <xdr:to>
      <xdr:col>8</xdr:col>
      <xdr:colOff>723900</xdr:colOff>
      <xdr:row>25</xdr:row>
      <xdr:rowOff>152400</xdr:rowOff>
    </xdr:to>
    <xdr:sp macro="" textlink="">
      <xdr:nvSpPr>
        <xdr:cNvPr id="176135" name="Text Box 7" hidden="1"/>
        <xdr:cNvSpPr txBox="1">
          <a:spLocks noChangeArrowheads="1"/>
        </xdr:cNvSpPr>
      </xdr:nvSpPr>
      <xdr:spPr bwMode="auto">
        <a:xfrm>
          <a:off x="5753100" y="3695700"/>
          <a:ext cx="1828800" cy="647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A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blurRad="63500" dist="38099" dir="2700000" algn="ctr" rotWithShape="0">
            <a:srgbClr val="000000">
              <a:alpha val="74998"/>
            </a:srgbClr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75040" cy="583184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0.71043</cdr:x>
      <cdr:y>0.79412</cdr:y>
    </cdr:from>
    <cdr:to>
      <cdr:x>0.76218</cdr:x>
      <cdr:y>0.94087</cdr:y>
    </cdr:to>
    <cdr:sp macro="" textlink="">
      <cdr:nvSpPr>
        <cdr:cNvPr id="3112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81165" y="4629183"/>
          <a:ext cx="442970" cy="8554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27432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1" i="0" strike="noStrike">
              <a:solidFill>
                <a:srgbClr val="0000D4"/>
              </a:solidFill>
              <a:latin typeface="Verdana"/>
              <a:ea typeface="Verdana"/>
              <a:cs typeface="Verdana"/>
            </a:rPr>
            <a:t>Wind</a:t>
          </a:r>
        </a:p>
      </cdr:txBody>
    </cdr:sp>
  </cdr:relSizeAnchor>
  <cdr:relSizeAnchor xmlns:cdr="http://schemas.openxmlformats.org/drawingml/2006/chartDrawing">
    <cdr:from>
      <cdr:x>0.71044</cdr:x>
      <cdr:y>0.7456</cdr:y>
    </cdr:from>
    <cdr:to>
      <cdr:x>0.91276</cdr:x>
      <cdr:y>0.77596</cdr:y>
    </cdr:to>
    <cdr:sp macro="" textlink="">
      <cdr:nvSpPr>
        <cdr:cNvPr id="3112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81198" y="4346329"/>
          <a:ext cx="1731819" cy="1769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1" i="0" strike="noStrike">
              <a:solidFill>
                <a:srgbClr val="DD0806"/>
              </a:solidFill>
              <a:latin typeface="Verdana"/>
              <a:ea typeface="Verdana"/>
              <a:cs typeface="Verdana"/>
            </a:rPr>
            <a:t>Small Hydro (</a:t>
          </a:r>
          <a:r>
            <a:rPr lang="en-US" sz="1000" b="1" i="0" u="sng" strike="noStrike">
              <a:solidFill>
                <a:srgbClr val="DD0806"/>
              </a:solidFill>
              <a:latin typeface="Verdana"/>
              <a:ea typeface="Verdana"/>
              <a:cs typeface="Verdana"/>
            </a:rPr>
            <a:t>&lt;</a:t>
          </a:r>
          <a:r>
            <a:rPr lang="en-US" sz="1000" b="1" i="0" strike="noStrike">
              <a:solidFill>
                <a:srgbClr val="DD0806"/>
              </a:solidFill>
              <a:latin typeface="Verdana"/>
              <a:ea typeface="Verdana"/>
              <a:cs typeface="Verdana"/>
            </a:rPr>
            <a:t>10 MW)</a:t>
          </a:r>
        </a:p>
      </cdr:txBody>
    </cdr:sp>
  </cdr:relSizeAnchor>
  <cdr:relSizeAnchor xmlns:cdr="http://schemas.openxmlformats.org/drawingml/2006/chartDrawing">
    <cdr:from>
      <cdr:x>0.80325</cdr:x>
      <cdr:y>0.59075</cdr:y>
    </cdr:from>
    <cdr:to>
      <cdr:x>0.80925</cdr:x>
      <cdr:y>0.5995</cdr:y>
    </cdr:to>
    <cdr:sp macro="" textlink="">
      <cdr:nvSpPr>
        <cdr:cNvPr id="3113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885861" y="3443659"/>
          <a:ext cx="51435" cy="510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Verdana"/>
              <a:ea typeface="Verdana"/>
              <a:cs typeface="Verdana"/>
            </a:rPr>
            <a:t>Bio</a:t>
          </a:r>
        </a:p>
      </cdr:txBody>
    </cdr:sp>
  </cdr:relSizeAnchor>
  <cdr:relSizeAnchor xmlns:cdr="http://schemas.openxmlformats.org/drawingml/2006/chartDrawing">
    <cdr:from>
      <cdr:x>0.71</cdr:x>
      <cdr:y>0.70065</cdr:y>
    </cdr:from>
    <cdr:to>
      <cdr:x>0.90564</cdr:x>
      <cdr:y>0.73101</cdr:y>
    </cdr:to>
    <cdr:sp macro="" textlink="">
      <cdr:nvSpPr>
        <cdr:cNvPr id="31130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77465" y="4084294"/>
          <a:ext cx="1674639" cy="1769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1" i="0" strike="noStrike">
              <a:solidFill>
                <a:srgbClr val="99CC00"/>
              </a:solidFill>
              <a:latin typeface="Verdana"/>
              <a:ea typeface="Verdana"/>
              <a:cs typeface="Verdana"/>
            </a:rPr>
            <a:t>Biomass and Waste</a:t>
          </a:r>
        </a:p>
      </cdr:txBody>
    </cdr:sp>
  </cdr:relSizeAnchor>
  <cdr:relSizeAnchor xmlns:cdr="http://schemas.openxmlformats.org/drawingml/2006/chartDrawing">
    <cdr:from>
      <cdr:x>0.7125</cdr:x>
      <cdr:y>0.65223</cdr:y>
    </cdr:from>
    <cdr:to>
      <cdr:x>0.86291</cdr:x>
      <cdr:y>0.68259</cdr:y>
    </cdr:to>
    <cdr:sp macro="" textlink="">
      <cdr:nvSpPr>
        <cdr:cNvPr id="31130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98858" y="3802049"/>
          <a:ext cx="1287479" cy="1769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1" i="0" strike="noStrike">
              <a:solidFill>
                <a:schemeClr val="bg1">
                  <a:lumMod val="75000"/>
                </a:schemeClr>
              </a:solidFill>
              <a:latin typeface="Verdana"/>
              <a:ea typeface="Verdana"/>
              <a:cs typeface="Verdana"/>
            </a:rPr>
            <a:t>Photovoltaics</a:t>
          </a:r>
        </a:p>
      </cdr:txBody>
    </cdr:sp>
  </cdr:relSizeAnchor>
  <cdr:relSizeAnchor xmlns:cdr="http://schemas.openxmlformats.org/drawingml/2006/chartDrawing">
    <cdr:from>
      <cdr:x>0.70286</cdr:x>
      <cdr:y>0.54918</cdr:y>
    </cdr:from>
    <cdr:to>
      <cdr:x>0.71234</cdr:x>
      <cdr:y>0.99879</cdr:y>
    </cdr:to>
    <cdr:sp macro="" textlink="">
      <cdr:nvSpPr>
        <cdr:cNvPr id="311303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04563" y="3368927"/>
          <a:ext cx="27700" cy="1769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27432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en-US" sz="1000" b="1" i="0" strike="noStrike">
            <a:solidFill>
              <a:srgbClr val="6711FF"/>
            </a:solidFill>
            <a:latin typeface="Verdana"/>
            <a:ea typeface="Verdana"/>
            <a:cs typeface="Verdana"/>
          </a:endParaRPr>
        </a:p>
      </cdr:txBody>
    </cdr:sp>
  </cdr:relSizeAnchor>
  <cdr:relSizeAnchor xmlns:cdr="http://schemas.openxmlformats.org/drawingml/2006/chartDrawing">
    <cdr:from>
      <cdr:x>0.52149</cdr:x>
      <cdr:y>0.38068</cdr:y>
    </cdr:from>
    <cdr:to>
      <cdr:x>0.64332</cdr:x>
      <cdr:y>0.41025</cdr:y>
    </cdr:to>
    <cdr:sp macro="" textlink="">
      <cdr:nvSpPr>
        <cdr:cNvPr id="31130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63862" y="2219099"/>
          <a:ext cx="1042858" cy="1723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1" i="0" strike="noStrike">
              <a:solidFill>
                <a:schemeClr val="bg1"/>
              </a:solidFill>
              <a:latin typeface="Verdana"/>
              <a:ea typeface="Verdana"/>
              <a:cs typeface="Verdana"/>
            </a:rPr>
            <a:t>Nuclear</a:t>
          </a:r>
        </a:p>
      </cdr:txBody>
    </cdr:sp>
  </cdr:relSizeAnchor>
  <cdr:relSizeAnchor xmlns:cdr="http://schemas.openxmlformats.org/drawingml/2006/chartDrawing">
    <cdr:from>
      <cdr:x>0.5602</cdr:x>
      <cdr:y>0.41592</cdr:y>
    </cdr:from>
    <cdr:to>
      <cdr:x>0.6087</cdr:x>
      <cdr:y>0.47692</cdr:y>
    </cdr:to>
    <cdr:sp macro="" textlink="">
      <cdr:nvSpPr>
        <cdr:cNvPr id="311308" name="Line 1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795190" y="2424513"/>
          <a:ext cx="415150" cy="35558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chemeClr val="bg1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0.4995</cdr:x>
      <cdr:y>0.469</cdr:y>
    </cdr:from>
    <cdr:to>
      <cdr:x>0.5115</cdr:x>
      <cdr:y>0.505</cdr:y>
    </cdr:to>
    <cdr:sp macro="" textlink="">
      <cdr:nvSpPr>
        <cdr:cNvPr id="311309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86250" y="2722283"/>
          <a:ext cx="100727" cy="212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0.7098</cdr:x>
      <cdr:y>0.37583</cdr:y>
    </cdr:from>
    <cdr:to>
      <cdr:x>0.87834</cdr:x>
      <cdr:y>0.4549</cdr:y>
    </cdr:to>
    <cdr:sp macro="" textlink="">
      <cdr:nvSpPr>
        <cdr:cNvPr id="311314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75739" y="2190850"/>
          <a:ext cx="1442669" cy="4609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1" i="0" strike="noStrike">
              <a:solidFill>
                <a:srgbClr val="FF6600"/>
              </a:solidFill>
              <a:latin typeface="Verdana"/>
              <a:ea typeface="Verdana"/>
              <a:cs typeface="Verdana"/>
            </a:rPr>
            <a:t>Cogeneration (except biomass)</a:t>
          </a:r>
        </a:p>
      </cdr:txBody>
    </cdr:sp>
  </cdr:relSizeAnchor>
  <cdr:relSizeAnchor xmlns:cdr="http://schemas.openxmlformats.org/drawingml/2006/chartDrawing">
    <cdr:from>
      <cdr:x>0.41424</cdr:x>
      <cdr:y>0.19869</cdr:y>
    </cdr:from>
    <cdr:to>
      <cdr:x>0.46241</cdr:x>
      <cdr:y>0.37622</cdr:y>
    </cdr:to>
    <cdr:sp macro="" textlink="">
      <cdr:nvSpPr>
        <cdr:cNvPr id="311315" name="Line 1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545839" y="1158240"/>
          <a:ext cx="412297" cy="103485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chemeClr val="bg1"/>
          </a:solidFill>
          <a:prstDash val="dash"/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0.10208</cdr:x>
      <cdr:y>0.13769</cdr:y>
    </cdr:from>
    <cdr:to>
      <cdr:x>0.66825</cdr:x>
      <cdr:y>0.18824</cdr:y>
    </cdr:to>
    <cdr:sp macro="" textlink="">
      <cdr:nvSpPr>
        <cdr:cNvPr id="311316" name="Text Box 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3784" y="802641"/>
          <a:ext cx="4846296" cy="2946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chemeClr val="bg1"/>
          </a:solidFill>
          <a:prstDash val="dash"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l" rtl="0"/>
          <a:r>
            <a:rPr lang="en-US" sz="1100" b="1" i="0">
              <a:solidFill>
                <a:schemeClr val="bg1"/>
              </a:solidFill>
              <a:latin typeface="Verdana"/>
              <a:ea typeface="+mn-ea"/>
              <a:cs typeface="Verdana"/>
            </a:rPr>
            <a:t>Total Micropower (CHP plus</a:t>
          </a:r>
          <a:r>
            <a:rPr lang="en-US" sz="1100" b="1" i="0" baseline="0">
              <a:solidFill>
                <a:schemeClr val="bg1"/>
              </a:solidFill>
              <a:latin typeface="Verdana"/>
              <a:ea typeface="+mn-ea"/>
              <a:cs typeface="Verdana"/>
            </a:rPr>
            <a:t> renewables except large hydro)</a:t>
          </a:r>
          <a:endParaRPr lang="en-US" sz="1100" b="1" i="0">
            <a:solidFill>
              <a:schemeClr val="bg1"/>
            </a:solidFill>
            <a:latin typeface="Verdana"/>
            <a:ea typeface="+mn-ea"/>
            <a:cs typeface="Verdana"/>
          </a:endParaRPr>
        </a:p>
      </cdr:txBody>
    </cdr:sp>
  </cdr:relSizeAnchor>
  <cdr:relSizeAnchor xmlns:cdr="http://schemas.openxmlformats.org/drawingml/2006/chartDrawing">
    <cdr:from>
      <cdr:x>0.42225</cdr:x>
      <cdr:y>0.89725</cdr:y>
    </cdr:from>
    <cdr:to>
      <cdr:x>0.42225</cdr:x>
      <cdr:y>0.92575</cdr:y>
    </cdr:to>
    <cdr:sp macro="" textlink="">
      <cdr:nvSpPr>
        <cdr:cNvPr id="311317" name="Text Box 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97275" y="5019027"/>
          <a:ext cx="507921" cy="2025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27432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FFFFFF"/>
              </a:solidFill>
              <a:latin typeface="Verdana"/>
              <a:ea typeface="Verdana"/>
              <a:cs typeface="Verdana"/>
            </a:rPr>
            <a:t>Actual</a:t>
          </a:r>
        </a:p>
      </cdr:txBody>
    </cdr:sp>
  </cdr:relSizeAnchor>
  <cdr:relSizeAnchor xmlns:cdr="http://schemas.openxmlformats.org/drawingml/2006/chartDrawing">
    <cdr:from>
      <cdr:x>0.60427</cdr:x>
      <cdr:y>0.87805</cdr:y>
    </cdr:from>
    <cdr:to>
      <cdr:x>0.6525</cdr:x>
      <cdr:y>0.87849</cdr:y>
    </cdr:to>
    <cdr:sp macro="" textlink="">
      <cdr:nvSpPr>
        <cdr:cNvPr id="311318" name="Line 2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5181600" y="5120640"/>
          <a:ext cx="413590" cy="258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FFFFFF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0.62375</cdr:x>
      <cdr:y>0.89725</cdr:y>
    </cdr:from>
    <cdr:to>
      <cdr:x>0.62375</cdr:x>
      <cdr:y>0.92425</cdr:y>
    </cdr:to>
    <cdr:sp macro="" textlink="">
      <cdr:nvSpPr>
        <cdr:cNvPr id="311319" name="Text Box 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32413" y="5027730"/>
          <a:ext cx="711517" cy="2025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27432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FFFFFF"/>
              </a:solidFill>
              <a:latin typeface="Verdana"/>
              <a:ea typeface="Verdana"/>
              <a:cs typeface="Verdana"/>
            </a:rPr>
            <a:t>Projected</a:t>
          </a:r>
        </a:p>
      </cdr:txBody>
    </cdr:sp>
  </cdr:relSizeAnchor>
  <cdr:relSizeAnchor xmlns:cdr="http://schemas.openxmlformats.org/drawingml/2006/chartDrawing">
    <cdr:from>
      <cdr:x>0.65995</cdr:x>
      <cdr:y>0.87675</cdr:y>
    </cdr:from>
    <cdr:to>
      <cdr:x>0.70798</cdr:x>
      <cdr:y>0.87805</cdr:y>
    </cdr:to>
    <cdr:sp macro="" textlink="">
      <cdr:nvSpPr>
        <cdr:cNvPr id="311320" name="Line 2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5659119" y="5113066"/>
          <a:ext cx="411837" cy="757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FFFFFF"/>
          </a:solidFill>
          <a:round/>
          <a:headEnd type="triangle" w="med" len="med"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0.712</cdr:x>
      <cdr:y>0.89375</cdr:y>
    </cdr:from>
    <cdr:to>
      <cdr:x>0.712</cdr:x>
      <cdr:y>0.921</cdr:y>
    </cdr:to>
    <cdr:sp macro="" textlink="">
      <cdr:nvSpPr>
        <cdr:cNvPr id="1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80547" y="3560279"/>
          <a:ext cx="880289" cy="8443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27432" tIns="22860" rIns="0" bIns="0" anchor="t" upright="1">
          <a:sp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1" i="0" strike="noStrike">
              <a:solidFill>
                <a:srgbClr val="6666FF"/>
              </a:solidFill>
              <a:latin typeface="Verdana"/>
              <a:ea typeface="Verdana"/>
              <a:cs typeface="Verdana"/>
            </a:rPr>
            <a:t>Geothermal</a:t>
          </a:r>
        </a:p>
      </cdr:txBody>
    </cdr:sp>
  </cdr:relSizeAnchor>
  <cdr:relSizeAnchor xmlns:cdr="http://schemas.openxmlformats.org/drawingml/2006/chartDrawing">
    <cdr:from>
      <cdr:x>0.53749</cdr:x>
      <cdr:y>0.861</cdr:y>
    </cdr:from>
    <cdr:to>
      <cdr:x>0.59502</cdr:x>
      <cdr:y>0.89135</cdr:y>
    </cdr:to>
    <cdr:sp macro="" textlink="">
      <cdr:nvSpPr>
        <cdr:cNvPr id="19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08965" y="5021214"/>
          <a:ext cx="493322" cy="1769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t" upright="1">
          <a:sp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1" i="0" strike="noStrike">
              <a:solidFill>
                <a:srgbClr val="FFFFFF"/>
              </a:solidFill>
              <a:latin typeface="Verdana"/>
              <a:ea typeface="Verdana"/>
              <a:cs typeface="Verdana"/>
            </a:rPr>
            <a:t>Actual</a:t>
          </a:r>
        </a:p>
      </cdr:txBody>
    </cdr:sp>
  </cdr:relSizeAnchor>
  <cdr:relSizeAnchor xmlns:cdr="http://schemas.openxmlformats.org/drawingml/2006/chartDrawing">
    <cdr:from>
      <cdr:x>0.71202</cdr:x>
      <cdr:y>0.86237</cdr:y>
    </cdr:from>
    <cdr:to>
      <cdr:x>0.79858</cdr:x>
      <cdr:y>0.8885</cdr:y>
    </cdr:to>
    <cdr:sp macro="" textlink="">
      <cdr:nvSpPr>
        <cdr:cNvPr id="20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05583" y="5029201"/>
          <a:ext cx="742257" cy="1523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t" upright="1">
          <a:no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1" i="0" strike="noStrike">
              <a:solidFill>
                <a:srgbClr val="FFFFFF"/>
              </a:solidFill>
              <a:latin typeface="Verdana"/>
              <a:ea typeface="Verdana"/>
              <a:cs typeface="Verdana"/>
            </a:rPr>
            <a:t>Projected</a:t>
          </a:r>
        </a:p>
      </cdr:txBody>
    </cdr:sp>
  </cdr:relSizeAnchor>
  <cdr:relSizeAnchor xmlns:cdr="http://schemas.openxmlformats.org/drawingml/2006/chartDrawing">
    <cdr:from>
      <cdr:x>0.71098</cdr:x>
      <cdr:y>0.61874</cdr:y>
    </cdr:from>
    <cdr:to>
      <cdr:x>0.86139</cdr:x>
      <cdr:y>0.6491</cdr:y>
    </cdr:to>
    <cdr:sp macro="" textlink="">
      <cdr:nvSpPr>
        <cdr:cNvPr id="21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85840" y="3606800"/>
          <a:ext cx="1287479" cy="1769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t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1" i="0" strike="noStrike">
              <a:solidFill>
                <a:schemeClr val="accent4"/>
              </a:solidFill>
              <a:latin typeface="Verdana"/>
              <a:ea typeface="Verdana"/>
              <a:cs typeface="Verdana"/>
            </a:rPr>
            <a:t>Geothermal</a:t>
          </a:r>
        </a:p>
      </cdr:txBody>
    </cdr:sp>
  </cdr:relSizeAnchor>
  <cdr:relSizeAnchor xmlns:cdr="http://schemas.openxmlformats.org/drawingml/2006/chartDrawing">
    <cdr:from>
      <cdr:x>0.03798</cdr:x>
      <cdr:y>0.05926</cdr:y>
    </cdr:from>
    <cdr:to>
      <cdr:x>0.07901</cdr:x>
      <cdr:y>0.08962</cdr:y>
    </cdr:to>
    <cdr:sp macro="" textlink="">
      <cdr:nvSpPr>
        <cdr:cNvPr id="2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120" y="345440"/>
          <a:ext cx="351181" cy="1769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27432" tIns="22860" rIns="0" bIns="0" anchor="t" upright="1">
          <a:sp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1" i="0" strike="noStrike">
              <a:solidFill>
                <a:sysClr val="window" lastClr="FFFFFF"/>
              </a:solidFill>
              <a:latin typeface="Verdana"/>
              <a:ea typeface="Verdana"/>
              <a:cs typeface="Verdana"/>
            </a:rPr>
            <a:t>TWh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75040" cy="583184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0.71043</cdr:x>
      <cdr:y>0.79412</cdr:y>
    </cdr:from>
    <cdr:to>
      <cdr:x>0.76218</cdr:x>
      <cdr:y>0.94087</cdr:y>
    </cdr:to>
    <cdr:sp macro="" textlink="">
      <cdr:nvSpPr>
        <cdr:cNvPr id="3112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81165" y="4629183"/>
          <a:ext cx="442970" cy="8554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27432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1" i="0" strike="noStrike">
              <a:solidFill>
                <a:srgbClr val="0000D4"/>
              </a:solidFill>
              <a:latin typeface="Verdana"/>
              <a:ea typeface="Verdana"/>
              <a:cs typeface="Verdana"/>
            </a:rPr>
            <a:t>Wind</a:t>
          </a:r>
        </a:p>
      </cdr:txBody>
    </cdr:sp>
  </cdr:relSizeAnchor>
  <cdr:relSizeAnchor xmlns:cdr="http://schemas.openxmlformats.org/drawingml/2006/chartDrawing">
    <cdr:from>
      <cdr:x>0.71044</cdr:x>
      <cdr:y>0.7456</cdr:y>
    </cdr:from>
    <cdr:to>
      <cdr:x>0.91276</cdr:x>
      <cdr:y>0.77596</cdr:y>
    </cdr:to>
    <cdr:sp macro="" textlink="">
      <cdr:nvSpPr>
        <cdr:cNvPr id="3112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81198" y="4346329"/>
          <a:ext cx="1731819" cy="1769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1" i="0" strike="noStrike">
              <a:solidFill>
                <a:srgbClr val="DD0806"/>
              </a:solidFill>
              <a:latin typeface="Verdana"/>
              <a:ea typeface="Verdana"/>
              <a:cs typeface="Verdana"/>
            </a:rPr>
            <a:t>Small Hydro (</a:t>
          </a:r>
          <a:r>
            <a:rPr lang="en-US" sz="1000" b="1" i="0" u="sng" strike="noStrike">
              <a:solidFill>
                <a:srgbClr val="DD0806"/>
              </a:solidFill>
              <a:latin typeface="Verdana"/>
              <a:ea typeface="Verdana"/>
              <a:cs typeface="Verdana"/>
            </a:rPr>
            <a:t>&lt;</a:t>
          </a:r>
          <a:r>
            <a:rPr lang="en-US" sz="1000" b="1" i="0" strike="noStrike">
              <a:solidFill>
                <a:srgbClr val="DD0806"/>
              </a:solidFill>
              <a:latin typeface="Verdana"/>
              <a:ea typeface="Verdana"/>
              <a:cs typeface="Verdana"/>
            </a:rPr>
            <a:t>10 MW)</a:t>
          </a:r>
        </a:p>
      </cdr:txBody>
    </cdr:sp>
  </cdr:relSizeAnchor>
  <cdr:relSizeAnchor xmlns:cdr="http://schemas.openxmlformats.org/drawingml/2006/chartDrawing">
    <cdr:from>
      <cdr:x>0.80325</cdr:x>
      <cdr:y>0.59075</cdr:y>
    </cdr:from>
    <cdr:to>
      <cdr:x>0.80925</cdr:x>
      <cdr:y>0.5995</cdr:y>
    </cdr:to>
    <cdr:sp macro="" textlink="">
      <cdr:nvSpPr>
        <cdr:cNvPr id="3113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885861" y="3443659"/>
          <a:ext cx="51435" cy="510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Verdana"/>
              <a:ea typeface="Verdana"/>
              <a:cs typeface="Verdana"/>
            </a:rPr>
            <a:t>Bio</a:t>
          </a:r>
        </a:p>
      </cdr:txBody>
    </cdr:sp>
  </cdr:relSizeAnchor>
  <cdr:relSizeAnchor xmlns:cdr="http://schemas.openxmlformats.org/drawingml/2006/chartDrawing">
    <cdr:from>
      <cdr:x>0.71</cdr:x>
      <cdr:y>0.70065</cdr:y>
    </cdr:from>
    <cdr:to>
      <cdr:x>0.90564</cdr:x>
      <cdr:y>0.73101</cdr:y>
    </cdr:to>
    <cdr:sp macro="" textlink="">
      <cdr:nvSpPr>
        <cdr:cNvPr id="31130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77465" y="4084294"/>
          <a:ext cx="1674639" cy="1769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1" i="0" strike="noStrike">
              <a:solidFill>
                <a:srgbClr val="99CC00"/>
              </a:solidFill>
              <a:latin typeface="Verdana"/>
              <a:ea typeface="Verdana"/>
              <a:cs typeface="Verdana"/>
            </a:rPr>
            <a:t>Biomass and Waste</a:t>
          </a:r>
        </a:p>
      </cdr:txBody>
    </cdr:sp>
  </cdr:relSizeAnchor>
  <cdr:relSizeAnchor xmlns:cdr="http://schemas.openxmlformats.org/drawingml/2006/chartDrawing">
    <cdr:from>
      <cdr:x>0.7125</cdr:x>
      <cdr:y>0.65223</cdr:y>
    </cdr:from>
    <cdr:to>
      <cdr:x>0.86291</cdr:x>
      <cdr:y>0.68259</cdr:y>
    </cdr:to>
    <cdr:sp macro="" textlink="">
      <cdr:nvSpPr>
        <cdr:cNvPr id="31130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98858" y="3802049"/>
          <a:ext cx="1287479" cy="1769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1" i="0" strike="noStrike">
              <a:solidFill>
                <a:schemeClr val="bg1">
                  <a:lumMod val="75000"/>
                </a:schemeClr>
              </a:solidFill>
              <a:latin typeface="Verdana"/>
              <a:ea typeface="Verdana"/>
              <a:cs typeface="Verdana"/>
            </a:rPr>
            <a:t>Photovoltaics</a:t>
          </a:r>
        </a:p>
      </cdr:txBody>
    </cdr:sp>
  </cdr:relSizeAnchor>
  <cdr:relSizeAnchor xmlns:cdr="http://schemas.openxmlformats.org/drawingml/2006/chartDrawing">
    <cdr:from>
      <cdr:x>0.70286</cdr:x>
      <cdr:y>0.54918</cdr:y>
    </cdr:from>
    <cdr:to>
      <cdr:x>0.71234</cdr:x>
      <cdr:y>0.99879</cdr:y>
    </cdr:to>
    <cdr:sp macro="" textlink="">
      <cdr:nvSpPr>
        <cdr:cNvPr id="311303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04563" y="3368927"/>
          <a:ext cx="27700" cy="1769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27432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en-US" sz="1000" b="1" i="0" strike="noStrike">
            <a:solidFill>
              <a:srgbClr val="6711FF"/>
            </a:solidFill>
            <a:latin typeface="Verdana"/>
            <a:ea typeface="Verdana"/>
            <a:cs typeface="Verdana"/>
          </a:endParaRPr>
        </a:p>
      </cdr:txBody>
    </cdr:sp>
  </cdr:relSizeAnchor>
  <cdr:relSizeAnchor xmlns:cdr="http://schemas.openxmlformats.org/drawingml/2006/chartDrawing">
    <cdr:from>
      <cdr:x>0.52149</cdr:x>
      <cdr:y>0.38068</cdr:y>
    </cdr:from>
    <cdr:to>
      <cdr:x>0.64332</cdr:x>
      <cdr:y>0.41025</cdr:y>
    </cdr:to>
    <cdr:sp macro="" textlink="">
      <cdr:nvSpPr>
        <cdr:cNvPr id="31130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63862" y="2219099"/>
          <a:ext cx="1042858" cy="1723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1" i="0" strike="noStrike">
              <a:solidFill>
                <a:schemeClr val="tx1"/>
              </a:solidFill>
              <a:latin typeface="Verdana"/>
              <a:ea typeface="Verdana"/>
              <a:cs typeface="Verdana"/>
            </a:rPr>
            <a:t>Nuclear</a:t>
          </a:r>
        </a:p>
      </cdr:txBody>
    </cdr:sp>
  </cdr:relSizeAnchor>
  <cdr:relSizeAnchor xmlns:cdr="http://schemas.openxmlformats.org/drawingml/2006/chartDrawing">
    <cdr:from>
      <cdr:x>0.5602</cdr:x>
      <cdr:y>0.41592</cdr:y>
    </cdr:from>
    <cdr:to>
      <cdr:x>0.6087</cdr:x>
      <cdr:y>0.47692</cdr:y>
    </cdr:to>
    <cdr:sp macro="" textlink="">
      <cdr:nvSpPr>
        <cdr:cNvPr id="311308" name="Line 1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795190" y="2424513"/>
          <a:ext cx="415150" cy="35558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chemeClr val="tx1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0.4995</cdr:x>
      <cdr:y>0.469</cdr:y>
    </cdr:from>
    <cdr:to>
      <cdr:x>0.5115</cdr:x>
      <cdr:y>0.505</cdr:y>
    </cdr:to>
    <cdr:sp macro="" textlink="">
      <cdr:nvSpPr>
        <cdr:cNvPr id="311309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86250" y="2722283"/>
          <a:ext cx="100727" cy="212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0.7098</cdr:x>
      <cdr:y>0.37583</cdr:y>
    </cdr:from>
    <cdr:to>
      <cdr:x>0.87834</cdr:x>
      <cdr:y>0.4549</cdr:y>
    </cdr:to>
    <cdr:sp macro="" textlink="">
      <cdr:nvSpPr>
        <cdr:cNvPr id="311314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75739" y="2190850"/>
          <a:ext cx="1442669" cy="4609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1" i="0" strike="noStrike">
              <a:solidFill>
                <a:srgbClr val="FF6600"/>
              </a:solidFill>
              <a:latin typeface="Verdana"/>
              <a:ea typeface="Verdana"/>
              <a:cs typeface="Verdana"/>
            </a:rPr>
            <a:t>Cogeneration (except biomass)</a:t>
          </a:r>
        </a:p>
      </cdr:txBody>
    </cdr:sp>
  </cdr:relSizeAnchor>
  <cdr:relSizeAnchor xmlns:cdr="http://schemas.openxmlformats.org/drawingml/2006/chartDrawing">
    <cdr:from>
      <cdr:x>0.41424</cdr:x>
      <cdr:y>0.19869</cdr:y>
    </cdr:from>
    <cdr:to>
      <cdr:x>0.46241</cdr:x>
      <cdr:y>0.37622</cdr:y>
    </cdr:to>
    <cdr:sp macro="" textlink="">
      <cdr:nvSpPr>
        <cdr:cNvPr id="311315" name="Line 1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545839" y="1158240"/>
          <a:ext cx="412297" cy="103485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chemeClr val="tx1"/>
          </a:solidFill>
          <a:prstDash val="dash"/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0.10208</cdr:x>
      <cdr:y>0.13769</cdr:y>
    </cdr:from>
    <cdr:to>
      <cdr:x>0.66825</cdr:x>
      <cdr:y>0.18824</cdr:y>
    </cdr:to>
    <cdr:sp macro="" textlink="">
      <cdr:nvSpPr>
        <cdr:cNvPr id="311316" name="Text Box 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3784" y="802641"/>
          <a:ext cx="4846296" cy="2946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chemeClr val="tx1"/>
          </a:solidFill>
          <a:prstDash val="dash"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l" rtl="0"/>
          <a:r>
            <a:rPr lang="en-US" sz="1100" b="1" i="0">
              <a:solidFill>
                <a:schemeClr val="tx1"/>
              </a:solidFill>
              <a:latin typeface="Verdana"/>
              <a:ea typeface="+mn-ea"/>
              <a:cs typeface="Verdana"/>
            </a:rPr>
            <a:t>Total Micropower (CHP plus</a:t>
          </a:r>
          <a:r>
            <a:rPr lang="en-US" sz="1100" b="1" i="0" baseline="0">
              <a:solidFill>
                <a:schemeClr val="tx1"/>
              </a:solidFill>
              <a:latin typeface="Verdana"/>
              <a:ea typeface="+mn-ea"/>
              <a:cs typeface="Verdana"/>
            </a:rPr>
            <a:t> renewables except large hydro)</a:t>
          </a:r>
          <a:endParaRPr lang="en-US" sz="1100" b="1" i="0">
            <a:solidFill>
              <a:schemeClr val="tx1"/>
            </a:solidFill>
            <a:latin typeface="Verdana"/>
            <a:ea typeface="+mn-ea"/>
            <a:cs typeface="Verdana"/>
          </a:endParaRPr>
        </a:p>
      </cdr:txBody>
    </cdr:sp>
  </cdr:relSizeAnchor>
  <cdr:relSizeAnchor xmlns:cdr="http://schemas.openxmlformats.org/drawingml/2006/chartDrawing">
    <cdr:from>
      <cdr:x>0.42225</cdr:x>
      <cdr:y>0.89725</cdr:y>
    </cdr:from>
    <cdr:to>
      <cdr:x>0.42225</cdr:x>
      <cdr:y>0.92575</cdr:y>
    </cdr:to>
    <cdr:sp macro="" textlink="">
      <cdr:nvSpPr>
        <cdr:cNvPr id="311317" name="Text Box 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97275" y="5019027"/>
          <a:ext cx="507921" cy="2025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27432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FFFFFF"/>
              </a:solidFill>
              <a:latin typeface="Verdana"/>
              <a:ea typeface="Verdana"/>
              <a:cs typeface="Verdana"/>
            </a:rPr>
            <a:t>Actual</a:t>
          </a:r>
        </a:p>
      </cdr:txBody>
    </cdr:sp>
  </cdr:relSizeAnchor>
  <cdr:relSizeAnchor xmlns:cdr="http://schemas.openxmlformats.org/drawingml/2006/chartDrawing">
    <cdr:from>
      <cdr:x>0.55427</cdr:x>
      <cdr:y>0.87675</cdr:y>
    </cdr:from>
    <cdr:to>
      <cdr:x>0.65131</cdr:x>
      <cdr:y>0.87675</cdr:y>
    </cdr:to>
    <cdr:sp macro="" textlink="">
      <cdr:nvSpPr>
        <cdr:cNvPr id="311318" name="Line 2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752911" y="5113066"/>
          <a:ext cx="832121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chemeClr val="tx1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0.62375</cdr:x>
      <cdr:y>0.89725</cdr:y>
    </cdr:from>
    <cdr:to>
      <cdr:x>0.62375</cdr:x>
      <cdr:y>0.92425</cdr:y>
    </cdr:to>
    <cdr:sp macro="" textlink="">
      <cdr:nvSpPr>
        <cdr:cNvPr id="311319" name="Text Box 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32413" y="5027730"/>
          <a:ext cx="711517" cy="2025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27432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FFFFFF"/>
              </a:solidFill>
              <a:latin typeface="Verdana"/>
              <a:ea typeface="Verdana"/>
              <a:cs typeface="Verdana"/>
            </a:rPr>
            <a:t>Projected</a:t>
          </a:r>
        </a:p>
      </cdr:txBody>
    </cdr:sp>
  </cdr:relSizeAnchor>
  <cdr:relSizeAnchor xmlns:cdr="http://schemas.openxmlformats.org/drawingml/2006/chartDrawing">
    <cdr:from>
      <cdr:x>0.65521</cdr:x>
      <cdr:y>0.87631</cdr:y>
    </cdr:from>
    <cdr:to>
      <cdr:x>0.70324</cdr:x>
      <cdr:y>0.87675</cdr:y>
    </cdr:to>
    <cdr:sp macro="" textlink="">
      <cdr:nvSpPr>
        <cdr:cNvPr id="311320" name="Line 2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5618479" y="5110480"/>
          <a:ext cx="411831" cy="258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chemeClr val="tx1"/>
          </a:solidFill>
          <a:round/>
          <a:headEnd type="triangle" w="med" len="med"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0.712</cdr:x>
      <cdr:y>0.89375</cdr:y>
    </cdr:from>
    <cdr:to>
      <cdr:x>0.712</cdr:x>
      <cdr:y>0.921</cdr:y>
    </cdr:to>
    <cdr:sp macro="" textlink="">
      <cdr:nvSpPr>
        <cdr:cNvPr id="1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80547" y="3560279"/>
          <a:ext cx="880289" cy="8443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27432" tIns="22860" rIns="0" bIns="0" anchor="t" upright="1">
          <a:sp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1" i="0" strike="noStrike">
              <a:solidFill>
                <a:srgbClr val="6666FF"/>
              </a:solidFill>
              <a:latin typeface="Verdana"/>
              <a:ea typeface="Verdana"/>
              <a:cs typeface="Verdana"/>
            </a:rPr>
            <a:t>Geothermal</a:t>
          </a:r>
        </a:p>
      </cdr:txBody>
    </cdr:sp>
  </cdr:relSizeAnchor>
  <cdr:relSizeAnchor xmlns:cdr="http://schemas.openxmlformats.org/drawingml/2006/chartDrawing">
    <cdr:from>
      <cdr:x>0.49246</cdr:x>
      <cdr:y>0.861</cdr:y>
    </cdr:from>
    <cdr:to>
      <cdr:x>0.54999</cdr:x>
      <cdr:y>0.89135</cdr:y>
    </cdr:to>
    <cdr:sp macro="" textlink="">
      <cdr:nvSpPr>
        <cdr:cNvPr id="19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22849" y="5021214"/>
          <a:ext cx="493322" cy="1769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t" upright="1">
          <a:sp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1" i="0" strike="noStrike">
              <a:solidFill>
                <a:schemeClr val="tx1"/>
              </a:solidFill>
              <a:latin typeface="Verdana"/>
              <a:ea typeface="Verdana"/>
              <a:cs typeface="Verdana"/>
            </a:rPr>
            <a:t>Actual</a:t>
          </a:r>
        </a:p>
      </cdr:txBody>
    </cdr:sp>
  </cdr:relSizeAnchor>
  <cdr:relSizeAnchor xmlns:cdr="http://schemas.openxmlformats.org/drawingml/2006/chartDrawing">
    <cdr:from>
      <cdr:x>0.71202</cdr:x>
      <cdr:y>0.86448</cdr:y>
    </cdr:from>
    <cdr:to>
      <cdr:x>0.79621</cdr:x>
      <cdr:y>0.89483</cdr:y>
    </cdr:to>
    <cdr:sp macro="" textlink="">
      <cdr:nvSpPr>
        <cdr:cNvPr id="20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05591" y="5041534"/>
          <a:ext cx="721933" cy="1769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t" upright="1">
          <a:sp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Verdana"/>
              <a:ea typeface="Verdana"/>
              <a:cs typeface="Verdana"/>
            </a:rPr>
            <a:t>Projected</a:t>
          </a:r>
        </a:p>
      </cdr:txBody>
    </cdr:sp>
  </cdr:relSizeAnchor>
  <cdr:relSizeAnchor xmlns:cdr="http://schemas.openxmlformats.org/drawingml/2006/chartDrawing">
    <cdr:from>
      <cdr:x>0.71098</cdr:x>
      <cdr:y>0.61874</cdr:y>
    </cdr:from>
    <cdr:to>
      <cdr:x>0.86139</cdr:x>
      <cdr:y>0.6491</cdr:y>
    </cdr:to>
    <cdr:sp macro="" textlink="">
      <cdr:nvSpPr>
        <cdr:cNvPr id="21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85840" y="3606800"/>
          <a:ext cx="1287479" cy="1769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t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1" i="0" strike="noStrike">
              <a:solidFill>
                <a:schemeClr val="accent4"/>
              </a:solidFill>
              <a:latin typeface="Verdana"/>
              <a:ea typeface="Verdana"/>
              <a:cs typeface="Verdana"/>
            </a:rPr>
            <a:t>Geothermal</a:t>
          </a:r>
        </a:p>
      </cdr:txBody>
    </cdr:sp>
  </cdr:relSizeAnchor>
  <cdr:relSizeAnchor xmlns:cdr="http://schemas.openxmlformats.org/drawingml/2006/chartDrawing">
    <cdr:from>
      <cdr:x>0.04154</cdr:x>
      <cdr:y>0.05752</cdr:y>
    </cdr:from>
    <cdr:to>
      <cdr:x>0.07474</cdr:x>
      <cdr:y>0.08788</cdr:y>
    </cdr:to>
    <cdr:sp macro="" textlink="">
      <cdr:nvSpPr>
        <cdr:cNvPr id="2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5600" y="335280"/>
          <a:ext cx="284180" cy="1769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27432" tIns="22860" rIns="0" bIns="0" anchor="t" upright="1">
          <a:sp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1" i="0" strike="noStrike">
              <a:solidFill>
                <a:schemeClr val="tx1"/>
              </a:solidFill>
              <a:latin typeface="Verdana"/>
              <a:ea typeface="Verdana"/>
              <a:cs typeface="Verdana"/>
            </a:rPr>
            <a:t>GW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75040" cy="583184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0.69545</cdr:x>
      <cdr:y>0.28911</cdr:y>
    </cdr:from>
    <cdr:to>
      <cdr:x>0.87596</cdr:x>
      <cdr:y>0.38295</cdr:y>
    </cdr:to>
    <cdr:sp macro="" textlink="">
      <cdr:nvSpPr>
        <cdr:cNvPr id="31027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52913" y="1678022"/>
          <a:ext cx="1545167" cy="5470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1" i="0" strike="noStrike">
              <a:solidFill>
                <a:srgbClr val="FF6600"/>
              </a:solidFill>
              <a:latin typeface="Verdana"/>
              <a:ea typeface="Verdana"/>
              <a:cs typeface="Verdana"/>
            </a:rPr>
            <a:t>Cogeneration</a:t>
          </a:r>
          <a:r>
            <a:rPr lang="en-US" sz="1000" b="1" i="0" strike="noStrike" baseline="0">
              <a:solidFill>
                <a:srgbClr val="FF6600"/>
              </a:solidFill>
              <a:latin typeface="Verdana"/>
              <a:ea typeface="Verdana"/>
              <a:cs typeface="Verdana"/>
            </a:rPr>
            <a:t> (except by biomass)</a:t>
          </a:r>
          <a:endParaRPr lang="en-US" sz="1000" b="1" i="0" strike="noStrike">
            <a:solidFill>
              <a:srgbClr val="FF6600"/>
            </a:solidFill>
            <a:latin typeface="Verdana"/>
            <a:ea typeface="Verdana"/>
            <a:cs typeface="Verdana"/>
          </a:endParaRPr>
        </a:p>
      </cdr:txBody>
    </cdr:sp>
  </cdr:relSizeAnchor>
  <cdr:relSizeAnchor xmlns:cdr="http://schemas.openxmlformats.org/drawingml/2006/chartDrawing">
    <cdr:from>
      <cdr:x>0.69632</cdr:x>
      <cdr:y>0.64139</cdr:y>
    </cdr:from>
    <cdr:to>
      <cdr:x>0.74422</cdr:x>
      <cdr:y>0.67175</cdr:y>
    </cdr:to>
    <cdr:sp macro="" textlink="">
      <cdr:nvSpPr>
        <cdr:cNvPr id="31027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60327" y="3738879"/>
          <a:ext cx="410014" cy="1769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1" i="0" strike="noStrike">
              <a:solidFill>
                <a:srgbClr val="0000D4"/>
              </a:solidFill>
              <a:latin typeface="Verdana"/>
              <a:ea typeface="Verdana"/>
              <a:cs typeface="Verdana"/>
            </a:rPr>
            <a:t>Wind</a:t>
          </a:r>
        </a:p>
      </cdr:txBody>
    </cdr:sp>
  </cdr:relSizeAnchor>
  <cdr:relSizeAnchor xmlns:cdr="http://schemas.openxmlformats.org/drawingml/2006/chartDrawing">
    <cdr:from>
      <cdr:x>0.69669</cdr:x>
      <cdr:y>0.57009</cdr:y>
    </cdr:from>
    <cdr:to>
      <cdr:x>0.91297</cdr:x>
      <cdr:y>0.6497</cdr:y>
    </cdr:to>
    <cdr:sp macro="" textlink="">
      <cdr:nvSpPr>
        <cdr:cNvPr id="31027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63527" y="3323223"/>
          <a:ext cx="1851314" cy="4640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27432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1" i="0" strike="noStrike">
              <a:solidFill>
                <a:srgbClr val="DD0806"/>
              </a:solidFill>
              <a:latin typeface="Verdana"/>
              <a:ea typeface="Verdana"/>
              <a:cs typeface="Verdana"/>
            </a:rPr>
            <a:t>Small Hydro (</a:t>
          </a:r>
          <a:r>
            <a:rPr lang="en-US" sz="1000" b="1" i="0" u="sng" strike="noStrike">
              <a:solidFill>
                <a:srgbClr val="DD0806"/>
              </a:solidFill>
              <a:latin typeface="Verdana"/>
              <a:ea typeface="Verdana"/>
              <a:cs typeface="Verdana"/>
            </a:rPr>
            <a:t>&lt;</a:t>
          </a:r>
          <a:r>
            <a:rPr lang="en-US" sz="1000" b="1" i="0" strike="noStrike">
              <a:solidFill>
                <a:srgbClr val="DD0806"/>
              </a:solidFill>
              <a:latin typeface="Verdana"/>
              <a:ea typeface="Verdana"/>
              <a:cs typeface="Verdana"/>
            </a:rPr>
            <a:t>10 MW)</a:t>
          </a:r>
        </a:p>
      </cdr:txBody>
    </cdr:sp>
  </cdr:relSizeAnchor>
  <cdr:relSizeAnchor xmlns:cdr="http://schemas.openxmlformats.org/drawingml/2006/chartDrawing">
    <cdr:from>
      <cdr:x>0.8035</cdr:x>
      <cdr:y>0.59075</cdr:y>
    </cdr:from>
    <cdr:to>
      <cdr:x>0.8095</cdr:x>
      <cdr:y>0.5995</cdr:y>
    </cdr:to>
    <cdr:sp macro="" textlink="">
      <cdr:nvSpPr>
        <cdr:cNvPr id="31027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888004" y="3443659"/>
          <a:ext cx="51435" cy="510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Verdana"/>
              <a:ea typeface="Verdana"/>
              <a:cs typeface="Verdana"/>
            </a:rPr>
            <a:t>Bio</a:t>
          </a:r>
        </a:p>
      </cdr:txBody>
    </cdr:sp>
  </cdr:relSizeAnchor>
  <cdr:relSizeAnchor xmlns:cdr="http://schemas.openxmlformats.org/drawingml/2006/chartDrawing">
    <cdr:from>
      <cdr:x>0.69651</cdr:x>
      <cdr:y>0.51387</cdr:y>
    </cdr:from>
    <cdr:to>
      <cdr:x>0.86575</cdr:x>
      <cdr:y>0.79537</cdr:y>
    </cdr:to>
    <cdr:sp macro="" textlink="">
      <cdr:nvSpPr>
        <cdr:cNvPr id="31027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61960" y="2995500"/>
          <a:ext cx="1448661" cy="16409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27432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1" i="0" strike="noStrike">
              <a:solidFill>
                <a:srgbClr val="99CC00"/>
              </a:solidFill>
              <a:latin typeface="Verdana"/>
              <a:ea typeface="Verdana"/>
              <a:cs typeface="Verdana"/>
            </a:rPr>
            <a:t>Biomass and Waste</a:t>
          </a:r>
        </a:p>
      </cdr:txBody>
    </cdr:sp>
  </cdr:relSizeAnchor>
  <cdr:relSizeAnchor xmlns:cdr="http://schemas.openxmlformats.org/drawingml/2006/chartDrawing">
    <cdr:from>
      <cdr:x>0.69557</cdr:x>
      <cdr:y>0.45571</cdr:y>
    </cdr:from>
    <cdr:to>
      <cdr:x>0.81265</cdr:x>
      <cdr:y>0.48607</cdr:y>
    </cdr:to>
    <cdr:sp macro="" textlink="">
      <cdr:nvSpPr>
        <cdr:cNvPr id="31027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53940" y="2656461"/>
          <a:ext cx="1002213" cy="1769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27432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1" i="0" strike="noStrike">
              <a:solidFill>
                <a:schemeClr val="bg1">
                  <a:lumMod val="75000"/>
                </a:schemeClr>
              </a:solidFill>
              <a:latin typeface="Verdana"/>
              <a:ea typeface="Verdana"/>
              <a:cs typeface="Verdana"/>
            </a:rPr>
            <a:t>Photovoltaics</a:t>
          </a:r>
        </a:p>
      </cdr:txBody>
    </cdr:sp>
  </cdr:relSizeAnchor>
  <cdr:relSizeAnchor xmlns:cdr="http://schemas.openxmlformats.org/drawingml/2006/chartDrawing">
    <cdr:from>
      <cdr:x>0.69425</cdr:x>
      <cdr:y>0.41997</cdr:y>
    </cdr:from>
    <cdr:to>
      <cdr:x>0.79665</cdr:x>
      <cdr:y>0.68422</cdr:y>
    </cdr:to>
    <cdr:sp macro="" textlink="">
      <cdr:nvSpPr>
        <cdr:cNvPr id="31028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2667" y="2448104"/>
          <a:ext cx="876524" cy="15403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27432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1" i="0" strike="noStrike">
              <a:solidFill>
                <a:srgbClr val="6711FF"/>
              </a:solidFill>
              <a:latin typeface="Verdana"/>
              <a:ea typeface="Verdana"/>
              <a:cs typeface="Verdana"/>
            </a:rPr>
            <a:t>Geothermal</a:t>
          </a:r>
        </a:p>
      </cdr:txBody>
    </cdr:sp>
  </cdr:relSizeAnchor>
  <cdr:relSizeAnchor xmlns:cdr="http://schemas.openxmlformats.org/drawingml/2006/chartDrawing">
    <cdr:from>
      <cdr:x>0.27535</cdr:x>
      <cdr:y>0.4101</cdr:y>
    </cdr:from>
    <cdr:to>
      <cdr:x>0.3422</cdr:x>
      <cdr:y>0.43967</cdr:y>
    </cdr:to>
    <cdr:sp macro="" textlink="">
      <cdr:nvSpPr>
        <cdr:cNvPr id="310281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6941" y="2390596"/>
          <a:ext cx="572254" cy="1723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1" i="0" strike="noStrike">
              <a:solidFill>
                <a:schemeClr val="bg1"/>
              </a:solidFill>
              <a:latin typeface="Verdana"/>
              <a:ea typeface="Verdana"/>
              <a:cs typeface="Verdana"/>
            </a:rPr>
            <a:t>Nuclear</a:t>
          </a:r>
        </a:p>
      </cdr:txBody>
    </cdr:sp>
  </cdr:relSizeAnchor>
  <cdr:relSizeAnchor xmlns:cdr="http://schemas.openxmlformats.org/drawingml/2006/chartDrawing">
    <cdr:from>
      <cdr:x>0.47295</cdr:x>
      <cdr:y>0.84532</cdr:y>
    </cdr:from>
    <cdr:to>
      <cdr:x>0.53048</cdr:x>
      <cdr:y>0.87567</cdr:y>
    </cdr:to>
    <cdr:sp macro="" textlink="">
      <cdr:nvSpPr>
        <cdr:cNvPr id="310284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55547" y="4929771"/>
          <a:ext cx="493322" cy="1769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1" i="0" strike="noStrike">
              <a:solidFill>
                <a:srgbClr val="FFFFFF"/>
              </a:solidFill>
              <a:latin typeface="Verdana"/>
              <a:ea typeface="Verdana"/>
              <a:cs typeface="Verdana"/>
            </a:rPr>
            <a:t>Actual</a:t>
          </a:r>
        </a:p>
      </cdr:txBody>
    </cdr:sp>
  </cdr:relSizeAnchor>
  <cdr:relSizeAnchor xmlns:cdr="http://schemas.openxmlformats.org/drawingml/2006/chartDrawing">
    <cdr:from>
      <cdr:x>0.41449</cdr:x>
      <cdr:y>0.26119</cdr:y>
    </cdr:from>
    <cdr:to>
      <cdr:x>0.47393</cdr:x>
      <cdr:y>0.38502</cdr:y>
    </cdr:to>
    <cdr:sp macro="" textlink="">
      <cdr:nvSpPr>
        <cdr:cNvPr id="310285" name="Line 1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554268" y="1523218"/>
          <a:ext cx="509731" cy="72214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chemeClr val="bg1"/>
          </a:solidFill>
          <a:prstDash val="dash"/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0.3181</cdr:x>
      <cdr:y>0.44544</cdr:y>
    </cdr:from>
    <cdr:to>
      <cdr:x>0.38283</cdr:x>
      <cdr:y>0.59086</cdr:y>
    </cdr:to>
    <cdr:sp macro="" textlink="">
      <cdr:nvSpPr>
        <cdr:cNvPr id="310286" name="Line 1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722880" y="2590800"/>
          <a:ext cx="551928" cy="84912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chemeClr val="bg1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0.08096</cdr:x>
      <cdr:y>0.21239</cdr:y>
    </cdr:from>
    <cdr:to>
      <cdr:x>0.60178</cdr:x>
      <cdr:y>0.25597</cdr:y>
    </cdr:to>
    <cdr:sp macro="" textlink="">
      <cdr:nvSpPr>
        <cdr:cNvPr id="310287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0880" y="1229361"/>
          <a:ext cx="4460241" cy="254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chemeClr val="bg1"/>
          </a:solidFill>
          <a:prstDash val="dash"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0" strike="noStrike">
              <a:solidFill>
                <a:schemeClr val="bg1"/>
              </a:solidFill>
              <a:latin typeface="Verdana"/>
              <a:ea typeface="Verdana"/>
              <a:cs typeface="Verdana"/>
            </a:rPr>
            <a:t>Total Micropower (CHP plus</a:t>
          </a:r>
          <a:r>
            <a:rPr lang="en-US" sz="1000" b="1" i="0" strike="noStrike" baseline="0">
              <a:solidFill>
                <a:schemeClr val="bg1"/>
              </a:solidFill>
              <a:latin typeface="Verdana"/>
              <a:ea typeface="Verdana"/>
              <a:cs typeface="Verdana"/>
            </a:rPr>
            <a:t> renewables except large hydro)</a:t>
          </a:r>
          <a:endParaRPr lang="en-US" sz="1000" b="1" i="0" strike="noStrike">
            <a:solidFill>
              <a:schemeClr val="bg1"/>
            </a:solidFill>
            <a:latin typeface="Verdana"/>
            <a:ea typeface="Verdana"/>
            <a:cs typeface="Verdana"/>
          </a:endParaRPr>
        </a:p>
      </cdr:txBody>
    </cdr:sp>
  </cdr:relSizeAnchor>
  <cdr:relSizeAnchor xmlns:cdr="http://schemas.openxmlformats.org/drawingml/2006/chartDrawing">
    <cdr:from>
      <cdr:x>0.54178</cdr:x>
      <cdr:y>0.86105</cdr:y>
    </cdr:from>
    <cdr:to>
      <cdr:x>0.63882</cdr:x>
      <cdr:y>0.86105</cdr:y>
    </cdr:to>
    <cdr:sp macro="" textlink="">
      <cdr:nvSpPr>
        <cdr:cNvPr id="310290" name="Line 1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645805" y="5021506"/>
          <a:ext cx="832122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FFFFFF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0.69774</cdr:x>
      <cdr:y>0.84531</cdr:y>
    </cdr:from>
    <cdr:to>
      <cdr:x>0.78074</cdr:x>
      <cdr:y>0.87567</cdr:y>
    </cdr:to>
    <cdr:sp macro="" textlink="">
      <cdr:nvSpPr>
        <cdr:cNvPr id="310291" name="Text Box 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83112" y="4929725"/>
          <a:ext cx="711728" cy="1770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1" i="0" strike="noStrike">
              <a:solidFill>
                <a:srgbClr val="FFFFFF"/>
              </a:solidFill>
              <a:latin typeface="Verdana"/>
              <a:ea typeface="Verdana"/>
              <a:cs typeface="Verdana"/>
            </a:rPr>
            <a:t>Projected</a:t>
          </a:r>
        </a:p>
      </cdr:txBody>
    </cdr:sp>
  </cdr:relSizeAnchor>
  <cdr:relSizeAnchor xmlns:cdr="http://schemas.openxmlformats.org/drawingml/2006/chartDrawing">
    <cdr:from>
      <cdr:x>0.65166</cdr:x>
      <cdr:y>0.86063</cdr:y>
    </cdr:from>
    <cdr:to>
      <cdr:x>0.69626</cdr:x>
      <cdr:y>0.86105</cdr:y>
    </cdr:to>
    <cdr:sp macro="" textlink="">
      <cdr:nvSpPr>
        <cdr:cNvPr id="310292" name="Line 2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5588000" y="5019040"/>
          <a:ext cx="382456" cy="24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FFFFFF"/>
          </a:solidFill>
          <a:round/>
          <a:headEnd type="triangle" w="med" len="med"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17" name="Text Box 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0"/>
          <a:ext cx="507921" cy="2025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27432" tIns="22860" rIns="0" bIns="0" anchor="t" upright="1">
          <a:sp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FFFFFF"/>
              </a:solidFill>
              <a:latin typeface="Verdana"/>
              <a:ea typeface="Verdana"/>
              <a:cs typeface="Verdana"/>
            </a:rPr>
            <a:t>Actual</a:t>
          </a:r>
        </a:p>
      </cdr:txBody>
    </cdr:sp>
  </cdr:relSizeAnchor>
  <cdr:relSizeAnchor xmlns:cdr="http://schemas.openxmlformats.org/drawingml/2006/chartDrawing">
    <cdr:from>
      <cdr:x>0.01349</cdr:x>
      <cdr:y>0.05054</cdr:y>
    </cdr:from>
    <cdr:to>
      <cdr:x>0.06314</cdr:x>
      <cdr:y>0.0809</cdr:y>
    </cdr:to>
    <cdr:sp macro="" textlink="">
      <cdr:nvSpPr>
        <cdr:cNvPr id="1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694" y="294741"/>
          <a:ext cx="425719" cy="1770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27432" tIns="22860" rIns="0" bIns="0" anchor="t" upright="1">
          <a:sp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1" i="0" strike="noStrike">
              <a:solidFill>
                <a:sysClr val="window" lastClr="FFFFFF"/>
              </a:solidFill>
              <a:latin typeface="Verdana"/>
              <a:ea typeface="Verdana"/>
              <a:cs typeface="Verdana"/>
            </a:rPr>
            <a:t>TWh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75040" cy="583184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0.69545</cdr:x>
      <cdr:y>0.28911</cdr:y>
    </cdr:from>
    <cdr:to>
      <cdr:x>0.87596</cdr:x>
      <cdr:y>0.38295</cdr:y>
    </cdr:to>
    <cdr:sp macro="" textlink="">
      <cdr:nvSpPr>
        <cdr:cNvPr id="31027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52913" y="1678022"/>
          <a:ext cx="1545167" cy="5470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1" i="0" strike="noStrike">
              <a:solidFill>
                <a:srgbClr val="FF6600"/>
              </a:solidFill>
              <a:latin typeface="Verdana"/>
              <a:ea typeface="Verdana"/>
              <a:cs typeface="Verdana"/>
            </a:rPr>
            <a:t>Cogeneration</a:t>
          </a:r>
          <a:r>
            <a:rPr lang="en-US" sz="1000" b="1" i="0" strike="noStrike" baseline="0">
              <a:solidFill>
                <a:srgbClr val="FF6600"/>
              </a:solidFill>
              <a:latin typeface="Verdana"/>
              <a:ea typeface="Verdana"/>
              <a:cs typeface="Verdana"/>
            </a:rPr>
            <a:t> (except by biomass)</a:t>
          </a:r>
          <a:endParaRPr lang="en-US" sz="1000" b="1" i="0" strike="noStrike">
            <a:solidFill>
              <a:srgbClr val="FF6600"/>
            </a:solidFill>
            <a:latin typeface="Verdana"/>
            <a:ea typeface="Verdana"/>
            <a:cs typeface="Verdana"/>
          </a:endParaRPr>
        </a:p>
      </cdr:txBody>
    </cdr:sp>
  </cdr:relSizeAnchor>
  <cdr:relSizeAnchor xmlns:cdr="http://schemas.openxmlformats.org/drawingml/2006/chartDrawing">
    <cdr:from>
      <cdr:x>0.69632</cdr:x>
      <cdr:y>0.64139</cdr:y>
    </cdr:from>
    <cdr:to>
      <cdr:x>0.74422</cdr:x>
      <cdr:y>0.67175</cdr:y>
    </cdr:to>
    <cdr:sp macro="" textlink="">
      <cdr:nvSpPr>
        <cdr:cNvPr id="31027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60327" y="3738879"/>
          <a:ext cx="410014" cy="1769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1" i="0" strike="noStrike">
              <a:solidFill>
                <a:srgbClr val="0000D4"/>
              </a:solidFill>
              <a:latin typeface="Verdana"/>
              <a:ea typeface="Verdana"/>
              <a:cs typeface="Verdana"/>
            </a:rPr>
            <a:t>Wind</a:t>
          </a:r>
        </a:p>
      </cdr:txBody>
    </cdr:sp>
  </cdr:relSizeAnchor>
  <cdr:relSizeAnchor xmlns:cdr="http://schemas.openxmlformats.org/drawingml/2006/chartDrawing">
    <cdr:from>
      <cdr:x>0.69669</cdr:x>
      <cdr:y>0.58229</cdr:y>
    </cdr:from>
    <cdr:to>
      <cdr:x>0.91297</cdr:x>
      <cdr:y>0.6619</cdr:y>
    </cdr:to>
    <cdr:sp macro="" textlink="">
      <cdr:nvSpPr>
        <cdr:cNvPr id="31027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63527" y="3389971"/>
          <a:ext cx="1690815" cy="1769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27432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1" i="0" strike="noStrike">
              <a:solidFill>
                <a:srgbClr val="DD0806"/>
              </a:solidFill>
              <a:latin typeface="Verdana"/>
              <a:ea typeface="Verdana"/>
              <a:cs typeface="Verdana"/>
            </a:rPr>
            <a:t>Small Hydro (</a:t>
          </a:r>
          <a:r>
            <a:rPr lang="en-US" sz="1000" b="1" i="0" u="sng" strike="noStrike">
              <a:solidFill>
                <a:srgbClr val="DD0806"/>
              </a:solidFill>
              <a:latin typeface="Verdana"/>
              <a:ea typeface="Verdana"/>
              <a:cs typeface="Verdana"/>
            </a:rPr>
            <a:t>&lt;</a:t>
          </a:r>
          <a:r>
            <a:rPr lang="en-US" sz="1000" b="1" i="0" strike="noStrike">
              <a:solidFill>
                <a:srgbClr val="DD0806"/>
              </a:solidFill>
              <a:latin typeface="Verdana"/>
              <a:ea typeface="Verdana"/>
              <a:cs typeface="Verdana"/>
            </a:rPr>
            <a:t>10 MW)</a:t>
          </a:r>
        </a:p>
      </cdr:txBody>
    </cdr:sp>
  </cdr:relSizeAnchor>
  <cdr:relSizeAnchor xmlns:cdr="http://schemas.openxmlformats.org/drawingml/2006/chartDrawing">
    <cdr:from>
      <cdr:x>0.8035</cdr:x>
      <cdr:y>0.59075</cdr:y>
    </cdr:from>
    <cdr:to>
      <cdr:x>0.8095</cdr:x>
      <cdr:y>0.5995</cdr:y>
    </cdr:to>
    <cdr:sp macro="" textlink="">
      <cdr:nvSpPr>
        <cdr:cNvPr id="31027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888004" y="3443659"/>
          <a:ext cx="51435" cy="510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Verdana"/>
              <a:ea typeface="Verdana"/>
              <a:cs typeface="Verdana"/>
            </a:rPr>
            <a:t>Bio</a:t>
          </a:r>
        </a:p>
      </cdr:txBody>
    </cdr:sp>
  </cdr:relSizeAnchor>
  <cdr:relSizeAnchor xmlns:cdr="http://schemas.openxmlformats.org/drawingml/2006/chartDrawing">
    <cdr:from>
      <cdr:x>0.69532</cdr:x>
      <cdr:y>0.52607</cdr:y>
    </cdr:from>
    <cdr:to>
      <cdr:x>0.86456</cdr:x>
      <cdr:y>0.80757</cdr:y>
    </cdr:to>
    <cdr:sp macro="" textlink="">
      <cdr:nvSpPr>
        <cdr:cNvPr id="31027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51793" y="3066620"/>
          <a:ext cx="1448661" cy="16409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27432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1" i="0" strike="noStrike">
              <a:solidFill>
                <a:srgbClr val="99CC00"/>
              </a:solidFill>
              <a:latin typeface="Verdana"/>
              <a:ea typeface="Verdana"/>
              <a:cs typeface="Verdana"/>
            </a:rPr>
            <a:t>Biomass and Waste</a:t>
          </a:r>
        </a:p>
      </cdr:txBody>
    </cdr:sp>
  </cdr:relSizeAnchor>
  <cdr:relSizeAnchor xmlns:cdr="http://schemas.openxmlformats.org/drawingml/2006/chartDrawing">
    <cdr:from>
      <cdr:x>0.69557</cdr:x>
      <cdr:y>0.46268</cdr:y>
    </cdr:from>
    <cdr:to>
      <cdr:x>0.8129</cdr:x>
      <cdr:y>0.51954</cdr:y>
    </cdr:to>
    <cdr:sp macro="" textlink="">
      <cdr:nvSpPr>
        <cdr:cNvPr id="31027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51800" y="2697101"/>
          <a:ext cx="1002213" cy="1769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27432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1" i="0" strike="noStrike">
              <a:solidFill>
                <a:schemeClr val="tx1"/>
              </a:solidFill>
              <a:latin typeface="Verdana"/>
              <a:ea typeface="Verdana"/>
              <a:cs typeface="Verdana"/>
            </a:rPr>
            <a:t>Photovoltaics</a:t>
          </a:r>
        </a:p>
      </cdr:txBody>
    </cdr:sp>
  </cdr:relSizeAnchor>
  <cdr:relSizeAnchor xmlns:cdr="http://schemas.openxmlformats.org/drawingml/2006/chartDrawing">
    <cdr:from>
      <cdr:x>0.69544</cdr:x>
      <cdr:y>0.42868</cdr:y>
    </cdr:from>
    <cdr:to>
      <cdr:x>0.79784</cdr:x>
      <cdr:y>0.69293</cdr:y>
    </cdr:to>
    <cdr:sp macro="" textlink="">
      <cdr:nvSpPr>
        <cdr:cNvPr id="31028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52861" y="2498878"/>
          <a:ext cx="876523" cy="154039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27432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1" i="0" strike="noStrike">
              <a:solidFill>
                <a:srgbClr val="6711FF"/>
              </a:solidFill>
              <a:latin typeface="Verdana"/>
              <a:ea typeface="Verdana"/>
              <a:cs typeface="Verdana"/>
            </a:rPr>
            <a:t>Geothermal</a:t>
          </a:r>
        </a:p>
      </cdr:txBody>
    </cdr:sp>
  </cdr:relSizeAnchor>
  <cdr:relSizeAnchor xmlns:cdr="http://schemas.openxmlformats.org/drawingml/2006/chartDrawing">
    <cdr:from>
      <cdr:x>0.27535</cdr:x>
      <cdr:y>0.4101</cdr:y>
    </cdr:from>
    <cdr:to>
      <cdr:x>0.4011</cdr:x>
      <cdr:y>0.44435</cdr:y>
    </cdr:to>
    <cdr:sp macro="" textlink="">
      <cdr:nvSpPr>
        <cdr:cNvPr id="310281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6972" y="2390599"/>
          <a:ext cx="1076395" cy="1996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Verdana"/>
              <a:ea typeface="Verdana"/>
              <a:cs typeface="Verdana"/>
            </a:rPr>
            <a:t>Nuclear</a:t>
          </a:r>
        </a:p>
      </cdr:txBody>
    </cdr:sp>
  </cdr:relSizeAnchor>
  <cdr:relSizeAnchor xmlns:cdr="http://schemas.openxmlformats.org/drawingml/2006/chartDrawing">
    <cdr:from>
      <cdr:x>0.4765</cdr:x>
      <cdr:y>0.84532</cdr:y>
    </cdr:from>
    <cdr:to>
      <cdr:x>0.53403</cdr:x>
      <cdr:y>0.87567</cdr:y>
    </cdr:to>
    <cdr:sp macro="" textlink="">
      <cdr:nvSpPr>
        <cdr:cNvPr id="310284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5988" y="4929784"/>
          <a:ext cx="493322" cy="1769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Verdana"/>
              <a:ea typeface="Verdana"/>
              <a:cs typeface="Verdana"/>
            </a:rPr>
            <a:t>Actual</a:t>
          </a:r>
        </a:p>
      </cdr:txBody>
    </cdr:sp>
  </cdr:relSizeAnchor>
  <cdr:relSizeAnchor xmlns:cdr="http://schemas.openxmlformats.org/drawingml/2006/chartDrawing">
    <cdr:from>
      <cdr:x>0.41449</cdr:x>
      <cdr:y>0.26119</cdr:y>
    </cdr:from>
    <cdr:to>
      <cdr:x>0.49052</cdr:x>
      <cdr:y>0.3676</cdr:y>
    </cdr:to>
    <cdr:sp macro="" textlink="">
      <cdr:nvSpPr>
        <cdr:cNvPr id="310285" name="Line 1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554269" y="1523219"/>
          <a:ext cx="651972" cy="62054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prstDash val="dash"/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0.3181</cdr:x>
      <cdr:y>0.44544</cdr:y>
    </cdr:from>
    <cdr:to>
      <cdr:x>0.38283</cdr:x>
      <cdr:y>0.59086</cdr:y>
    </cdr:to>
    <cdr:sp macro="" textlink="">
      <cdr:nvSpPr>
        <cdr:cNvPr id="310286" name="Line 1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722880" y="2590800"/>
          <a:ext cx="551928" cy="84912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0.08096</cdr:x>
      <cdr:y>0.21239</cdr:y>
    </cdr:from>
    <cdr:to>
      <cdr:x>0.60178</cdr:x>
      <cdr:y>0.25597</cdr:y>
    </cdr:to>
    <cdr:sp macro="" textlink="">
      <cdr:nvSpPr>
        <cdr:cNvPr id="310287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0880" y="1229361"/>
          <a:ext cx="4460241" cy="2540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prstDash val="dash"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Verdana"/>
              <a:ea typeface="Verdana"/>
              <a:cs typeface="Verdana"/>
            </a:rPr>
            <a:t>Total Micropower (CHP plus</a:t>
          </a:r>
          <a:r>
            <a:rPr lang="en-US" sz="1000" b="1" i="0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renewables except large hydro)</a:t>
          </a:r>
          <a:endParaRPr lang="en-US" sz="1000" b="1" i="0" strike="noStrike">
            <a:solidFill>
              <a:srgbClr val="000000"/>
            </a:solidFill>
            <a:latin typeface="Verdana"/>
            <a:ea typeface="Verdana"/>
            <a:cs typeface="Verdana"/>
          </a:endParaRPr>
        </a:p>
      </cdr:txBody>
    </cdr:sp>
  </cdr:relSizeAnchor>
  <cdr:relSizeAnchor xmlns:cdr="http://schemas.openxmlformats.org/drawingml/2006/chartDrawing">
    <cdr:from>
      <cdr:x>0.53941</cdr:x>
      <cdr:y>0.86105</cdr:y>
    </cdr:from>
    <cdr:to>
      <cdr:x>0.63645</cdr:x>
      <cdr:y>0.86105</cdr:y>
    </cdr:to>
    <cdr:sp macro="" textlink="">
      <cdr:nvSpPr>
        <cdr:cNvPr id="310290" name="Line 1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625447" y="5021506"/>
          <a:ext cx="832122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chemeClr val="tx1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0.69892</cdr:x>
      <cdr:y>0.84183</cdr:y>
    </cdr:from>
    <cdr:to>
      <cdr:x>0.78192</cdr:x>
      <cdr:y>0.87219</cdr:y>
    </cdr:to>
    <cdr:sp macro="" textlink="">
      <cdr:nvSpPr>
        <cdr:cNvPr id="310291" name="Text Box 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93272" y="4909405"/>
          <a:ext cx="711728" cy="1770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Verdana"/>
              <a:ea typeface="Verdana"/>
              <a:cs typeface="Verdana"/>
            </a:rPr>
            <a:t>Projected</a:t>
          </a:r>
        </a:p>
      </cdr:txBody>
    </cdr:sp>
  </cdr:relSizeAnchor>
  <cdr:relSizeAnchor xmlns:cdr="http://schemas.openxmlformats.org/drawingml/2006/chartDrawing">
    <cdr:from>
      <cdr:x>0.64218</cdr:x>
      <cdr:y>0.86063</cdr:y>
    </cdr:from>
    <cdr:to>
      <cdr:x>0.68957</cdr:x>
      <cdr:y>0.86105</cdr:y>
    </cdr:to>
    <cdr:sp macro="" textlink="">
      <cdr:nvSpPr>
        <cdr:cNvPr id="310292" name="Line 2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5506720" y="5019040"/>
          <a:ext cx="406369" cy="24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chemeClr val="tx1"/>
          </a:solidFill>
          <a:round/>
          <a:headEnd type="triangle" w="med" len="med"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17" name="Text Box 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0"/>
          <a:ext cx="507921" cy="2025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27432" tIns="22860" rIns="0" bIns="0" anchor="t" upright="1">
          <a:sp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FFFFFF"/>
              </a:solidFill>
              <a:latin typeface="Verdana"/>
              <a:ea typeface="Verdana"/>
              <a:cs typeface="Verdana"/>
            </a:rPr>
            <a:t>Actual</a:t>
          </a:r>
        </a:p>
      </cdr:txBody>
    </cdr:sp>
  </cdr:relSizeAnchor>
  <cdr:relSizeAnchor xmlns:cdr="http://schemas.openxmlformats.org/drawingml/2006/chartDrawing">
    <cdr:from>
      <cdr:x>0.02136</cdr:x>
      <cdr:y>0.05229</cdr:y>
    </cdr:from>
    <cdr:to>
      <cdr:x>0.05456</cdr:x>
      <cdr:y>0.08265</cdr:y>
    </cdr:to>
    <cdr:sp macro="" textlink="">
      <cdr:nvSpPr>
        <cdr:cNvPr id="1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2880" y="304800"/>
          <a:ext cx="284180" cy="1769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27432" tIns="22860" rIns="0" bIns="0" anchor="t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1" i="0" strike="noStrike">
              <a:solidFill>
                <a:schemeClr val="tx1"/>
              </a:solidFill>
              <a:latin typeface="Verdana"/>
              <a:ea typeface="Verdana"/>
              <a:cs typeface="Verdana"/>
            </a:rPr>
            <a:t>GW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tpalazzi@rmi.org" TargetMode="External"/><Relationship Id="rId2" Type="http://schemas.openxmlformats.org/officeDocument/2006/relationships/hyperlink" Target="http://www.rmi.org/micropower-database" TargetMode="External"/><Relationship Id="rId3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hyperlink" Target="http://www.ren21.net/portals/0/documents/resources/gsr/2014/gsr2014_full%20report_low%20res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://www.world-nuclear.com/info/inf84.html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wea.org/fileadmin/ewea_documents/documents/publications/WF12/WF12-2004_eng.pdf" TargetMode="External"/><Relationship Id="rId4" Type="http://schemas.openxmlformats.org/officeDocument/2006/relationships/hyperlink" Target="http://www.gwec.net/fileadmin/documents/Publications/GWEC_PRstats_02-02-2011_final.pdf" TargetMode="External"/><Relationship Id="rId5" Type="http://schemas.openxmlformats.org/officeDocument/2006/relationships/hyperlink" Target="http://www.ewea.org/documents/factsheet_industry2.pdf" TargetMode="External"/><Relationship Id="rId1" Type="http://schemas.openxmlformats.org/officeDocument/2006/relationships/hyperlink" Target="http://www.eia.gov/cfapps/ipdbproject/iedindex3.cfm?tid=6&amp;pid=37&amp;aid=12&amp;cid=regions&amp;syid=1990&amp;eyid=2012&amp;unit=BKWH" TargetMode="External"/><Relationship Id="rId2" Type="http://schemas.openxmlformats.org/officeDocument/2006/relationships/hyperlink" Target="http://www.gwec.net/index.php?id=92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http://www.worldwatch.org/pubs/vs/2005/" TargetMode="External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hyperlink" Target="http://www.bp.com/sectiongenericarticle.do?categoryId=9023767&amp;contentId=704419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CCFFCC"/>
    <pageSetUpPr fitToPage="1"/>
  </sheetPr>
  <dimension ref="B3:H31"/>
  <sheetViews>
    <sheetView showGridLines="0" tabSelected="1" zoomScale="125" workbookViewId="0">
      <selection activeCell="G16" sqref="G16"/>
    </sheetView>
  </sheetViews>
  <sheetFormatPr baseColWidth="10" defaultColWidth="11" defaultRowHeight="13" x14ac:dyDescent="0"/>
  <cols>
    <col min="5" max="5" width="21" customWidth="1"/>
    <col min="7" max="7" width="15.7109375" bestFit="1" customWidth="1"/>
    <col min="8" max="8" width="6.85546875" customWidth="1"/>
  </cols>
  <sheetData>
    <row r="3" spans="2:8" ht="14" thickBot="1"/>
    <row r="4" spans="2:8" ht="33" customHeight="1">
      <c r="B4" s="471" t="s">
        <v>148</v>
      </c>
      <c r="C4" s="472"/>
      <c r="D4" s="472"/>
      <c r="E4" s="472"/>
      <c r="F4" s="472"/>
      <c r="G4" s="472"/>
      <c r="H4" s="473"/>
    </row>
    <row r="5" spans="2:8" ht="13" customHeight="1">
      <c r="B5" s="19"/>
      <c r="C5" s="18"/>
      <c r="D5" s="18"/>
      <c r="E5" s="18"/>
      <c r="F5" s="18"/>
      <c r="G5" s="18"/>
      <c r="H5" s="20"/>
    </row>
    <row r="6" spans="2:8">
      <c r="B6" s="4"/>
      <c r="C6" s="1"/>
      <c r="D6" s="1"/>
      <c r="E6" s="2"/>
      <c r="F6" s="1"/>
      <c r="G6" s="11"/>
      <c r="H6" s="3"/>
    </row>
    <row r="7" spans="2:8">
      <c r="B7" s="4"/>
      <c r="C7" s="1"/>
      <c r="D7" s="1"/>
      <c r="E7" s="2"/>
      <c r="F7" s="1"/>
      <c r="G7" s="11"/>
      <c r="H7" s="3"/>
    </row>
    <row r="8" spans="2:8">
      <c r="B8" s="4"/>
      <c r="C8" s="1"/>
      <c r="D8" s="1"/>
      <c r="E8" s="2"/>
      <c r="F8" s="1"/>
      <c r="G8" s="12"/>
      <c r="H8" s="3"/>
    </row>
    <row r="9" spans="2:8">
      <c r="B9" s="4"/>
      <c r="C9" s="1"/>
      <c r="D9" s="1"/>
      <c r="E9" s="1"/>
      <c r="F9" s="1"/>
      <c r="G9" s="1"/>
      <c r="H9" s="3"/>
    </row>
    <row r="10" spans="2:8">
      <c r="B10" s="4"/>
      <c r="C10" s="1"/>
      <c r="D10" s="1"/>
      <c r="E10" s="66" t="s">
        <v>164</v>
      </c>
      <c r="F10" s="1"/>
      <c r="G10" s="13">
        <v>40379</v>
      </c>
      <c r="H10" s="3"/>
    </row>
    <row r="11" spans="2:8">
      <c r="B11" s="4"/>
      <c r="C11" s="1"/>
      <c r="D11" s="1"/>
      <c r="E11" s="1"/>
      <c r="F11" s="1"/>
      <c r="G11" s="62"/>
      <c r="H11" s="3"/>
    </row>
    <row r="12" spans="2:8">
      <c r="B12" s="4"/>
      <c r="C12" s="1"/>
      <c r="D12" s="1"/>
      <c r="E12" s="2" t="s">
        <v>76</v>
      </c>
      <c r="F12" s="1"/>
      <c r="G12" s="1" t="s">
        <v>112</v>
      </c>
      <c r="H12" s="3"/>
    </row>
    <row r="13" spans="2:8">
      <c r="B13" s="4"/>
      <c r="C13" s="1"/>
      <c r="D13" s="1"/>
      <c r="E13" s="1"/>
      <c r="F13" s="1"/>
      <c r="G13" s="23" t="s">
        <v>165</v>
      </c>
      <c r="H13" s="3"/>
    </row>
    <row r="14" spans="2:8">
      <c r="B14" s="4"/>
      <c r="C14" s="1"/>
      <c r="D14" s="1"/>
      <c r="E14" s="1"/>
      <c r="F14" s="1"/>
      <c r="G14" s="62"/>
      <c r="H14" s="3"/>
    </row>
    <row r="15" spans="2:8" s="26" customFormat="1" ht="39">
      <c r="B15" s="4"/>
      <c r="C15" s="1"/>
      <c r="D15" s="1"/>
      <c r="E15" s="65" t="s">
        <v>255</v>
      </c>
      <c r="F15" s="1"/>
      <c r="G15" s="491" t="s">
        <v>256</v>
      </c>
      <c r="H15" s="3"/>
    </row>
    <row r="16" spans="2:8" s="26" customFormat="1">
      <c r="B16" s="4"/>
      <c r="C16" s="1"/>
      <c r="D16" s="1"/>
      <c r="E16" s="65"/>
      <c r="F16" s="1"/>
      <c r="G16" s="67"/>
      <c r="H16" s="3"/>
    </row>
    <row r="17" spans="2:8" s="26" customFormat="1">
      <c r="B17" s="4"/>
      <c r="C17" s="1"/>
      <c r="D17" s="1"/>
      <c r="E17" s="65"/>
      <c r="F17" s="1"/>
      <c r="G17" s="67"/>
      <c r="H17" s="3"/>
    </row>
    <row r="18" spans="2:8">
      <c r="B18" s="4"/>
      <c r="C18" s="1"/>
      <c r="D18" s="1"/>
      <c r="E18" s="1"/>
      <c r="F18" s="1"/>
      <c r="G18" s="1"/>
      <c r="H18" s="3"/>
    </row>
    <row r="19" spans="2:8">
      <c r="B19" s="4"/>
      <c r="C19" s="1"/>
      <c r="D19" s="1"/>
      <c r="E19" s="1"/>
      <c r="F19" s="14" t="s">
        <v>57</v>
      </c>
      <c r="G19" s="1"/>
      <c r="H19" s="3"/>
    </row>
    <row r="20" spans="2:8">
      <c r="B20" s="4"/>
      <c r="C20" s="1"/>
      <c r="D20" s="1"/>
      <c r="E20" s="1"/>
      <c r="F20" s="14" t="s">
        <v>104</v>
      </c>
      <c r="G20" s="1"/>
      <c r="H20" s="3"/>
    </row>
    <row r="21" spans="2:8">
      <c r="B21" s="4"/>
      <c r="C21" s="1"/>
      <c r="D21" s="1"/>
      <c r="E21" s="1"/>
      <c r="F21" s="14" t="s">
        <v>81</v>
      </c>
      <c r="G21" s="1"/>
      <c r="H21" s="3"/>
    </row>
    <row r="22" spans="2:8">
      <c r="B22" s="4"/>
      <c r="C22" s="1"/>
      <c r="D22" s="1"/>
      <c r="E22" s="1"/>
      <c r="F22" s="25" t="s">
        <v>245</v>
      </c>
      <c r="G22" s="1"/>
      <c r="H22" s="3"/>
    </row>
    <row r="23" spans="2:8">
      <c r="B23" s="4"/>
      <c r="C23" s="1"/>
      <c r="D23" s="1"/>
      <c r="E23" s="1"/>
      <c r="F23" s="1"/>
      <c r="G23" s="1"/>
      <c r="H23" s="3"/>
    </row>
    <row r="24" spans="2:8">
      <c r="B24" s="4"/>
      <c r="C24" s="1"/>
      <c r="D24" s="1"/>
      <c r="E24" s="1"/>
      <c r="F24" s="1"/>
      <c r="G24" s="1"/>
      <c r="H24" s="3"/>
    </row>
    <row r="25" spans="2:8">
      <c r="B25" s="4"/>
      <c r="C25" s="1"/>
      <c r="D25" s="1"/>
      <c r="E25" s="1"/>
      <c r="F25" s="1"/>
      <c r="G25" s="1"/>
      <c r="H25" s="3"/>
    </row>
    <row r="26" spans="2:8">
      <c r="B26" s="4"/>
      <c r="C26" s="1"/>
      <c r="D26" s="1"/>
      <c r="E26" s="1"/>
      <c r="F26" s="1"/>
      <c r="G26" s="1"/>
      <c r="H26" s="3"/>
    </row>
    <row r="27" spans="2:8">
      <c r="B27" s="4"/>
      <c r="C27" s="1"/>
      <c r="D27" s="1"/>
      <c r="E27" s="1"/>
      <c r="F27" s="1"/>
      <c r="G27" s="1"/>
      <c r="H27" s="3"/>
    </row>
    <row r="28" spans="2:8">
      <c r="B28" s="4"/>
      <c r="C28" s="1"/>
      <c r="D28" s="1"/>
      <c r="E28" s="1"/>
      <c r="F28" s="1"/>
      <c r="G28" s="1"/>
      <c r="H28" s="3"/>
    </row>
    <row r="29" spans="2:8" s="26" customFormat="1">
      <c r="B29" s="4"/>
      <c r="C29" s="1"/>
      <c r="D29" s="1"/>
      <c r="E29" s="1"/>
      <c r="F29" s="1"/>
      <c r="G29" s="1"/>
      <c r="H29" s="3"/>
    </row>
    <row r="30" spans="2:8" s="26" customFormat="1">
      <c r="B30" s="4"/>
      <c r="C30" s="1"/>
      <c r="D30" s="1"/>
      <c r="E30" s="1"/>
      <c r="F30" s="1"/>
      <c r="G30" s="1"/>
      <c r="H30" s="3"/>
    </row>
    <row r="31" spans="2:8" ht="14" thickBot="1">
      <c r="B31" s="63"/>
      <c r="C31" s="64"/>
      <c r="D31" s="64"/>
      <c r="E31" s="6"/>
      <c r="F31" s="6"/>
      <c r="G31" s="6"/>
      <c r="H31" s="7"/>
    </row>
  </sheetData>
  <mergeCells count="1">
    <mergeCell ref="B4:H4"/>
  </mergeCells>
  <phoneticPr fontId="7"/>
  <hyperlinks>
    <hyperlink ref="G13" r:id="rId1"/>
    <hyperlink ref="G15" r:id="rId2"/>
  </hyperlinks>
  <pageMargins left="0.75" right="0.75" top="1" bottom="1" header="0.5" footer="0.5"/>
  <drawing r:id="rId3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8" tint="0.39997558519241921"/>
  </sheetPr>
  <dimension ref="B2:N45"/>
  <sheetViews>
    <sheetView showGridLines="0" workbookViewId="0">
      <selection activeCell="J23" sqref="J23"/>
    </sheetView>
  </sheetViews>
  <sheetFormatPr baseColWidth="10" defaultColWidth="11" defaultRowHeight="13" x14ac:dyDescent="0"/>
  <cols>
    <col min="1" max="1" width="4.5703125" style="69" customWidth="1"/>
    <col min="2" max="2" width="13.140625" style="69" customWidth="1"/>
    <col min="3" max="3" width="10.85546875" style="69" customWidth="1"/>
    <col min="4" max="4" width="11" style="69" customWidth="1"/>
    <col min="5" max="5" width="14" style="69" customWidth="1"/>
    <col min="6" max="6" width="8" style="69" customWidth="1"/>
    <col min="7" max="7" width="11.42578125" style="69" customWidth="1"/>
    <col min="8" max="8" width="10.5703125" style="69" customWidth="1"/>
    <col min="9" max="9" width="12.42578125" style="69" customWidth="1"/>
    <col min="10" max="10" width="17.7109375" style="69" customWidth="1"/>
    <col min="11" max="13" width="11" style="69"/>
    <col min="14" max="14" width="16" style="69" customWidth="1"/>
    <col min="15" max="16384" width="11" style="69"/>
  </cols>
  <sheetData>
    <row r="2" spans="2:10">
      <c r="B2" s="68" t="s">
        <v>225</v>
      </c>
    </row>
    <row r="3" spans="2:10" ht="14" thickBot="1">
      <c r="B3" s="68" t="s">
        <v>195</v>
      </c>
    </row>
    <row r="4" spans="2:10" ht="14" thickBot="1">
      <c r="B4" s="430"/>
      <c r="C4" s="68" t="s">
        <v>254</v>
      </c>
      <c r="D4" s="68"/>
      <c r="E4" s="68"/>
      <c r="F4" s="68"/>
      <c r="G4" s="68"/>
      <c r="H4" s="68"/>
      <c r="I4" s="68"/>
      <c r="J4" s="68"/>
    </row>
    <row r="5" spans="2:10" ht="14" thickBot="1">
      <c r="B5" s="72"/>
      <c r="C5" s="75"/>
      <c r="D5" s="352"/>
      <c r="E5" s="352"/>
      <c r="F5" s="352"/>
      <c r="G5" s="353"/>
      <c r="H5" s="71"/>
    </row>
    <row r="6" spans="2:10" ht="14" thickBot="1">
      <c r="B6" s="479" t="s">
        <v>66</v>
      </c>
      <c r="C6" s="480"/>
      <c r="D6" s="480"/>
      <c r="E6" s="480"/>
      <c r="F6" s="480"/>
      <c r="G6" s="486"/>
      <c r="H6" s="486"/>
      <c r="I6" s="487"/>
    </row>
    <row r="7" spans="2:10">
      <c r="B7" s="178"/>
      <c r="C7" s="309" t="s">
        <v>43</v>
      </c>
      <c r="D7" s="311" t="s">
        <v>92</v>
      </c>
      <c r="E7" s="310" t="s">
        <v>224</v>
      </c>
      <c r="F7" s="309" t="s">
        <v>43</v>
      </c>
      <c r="G7" s="306" t="s">
        <v>154</v>
      </c>
      <c r="H7" s="308" t="s">
        <v>233</v>
      </c>
      <c r="I7" s="307" t="s">
        <v>233</v>
      </c>
    </row>
    <row r="8" spans="2:10">
      <c r="B8" s="178"/>
      <c r="C8" s="309" t="s">
        <v>167</v>
      </c>
      <c r="D8" s="311" t="s">
        <v>143</v>
      </c>
      <c r="E8" s="310" t="s">
        <v>226</v>
      </c>
      <c r="F8" s="309" t="s">
        <v>144</v>
      </c>
      <c r="G8" s="309" t="s">
        <v>227</v>
      </c>
      <c r="H8" s="311" t="s">
        <v>235</v>
      </c>
      <c r="I8" s="310" t="s">
        <v>234</v>
      </c>
    </row>
    <row r="9" spans="2:10" ht="14" thickBot="1">
      <c r="B9" s="178"/>
      <c r="C9" s="312" t="s">
        <v>168</v>
      </c>
      <c r="D9" s="314" t="s">
        <v>168</v>
      </c>
      <c r="E9" s="313" t="s">
        <v>168</v>
      </c>
      <c r="F9" s="309"/>
      <c r="G9" s="312" t="s">
        <v>170</v>
      </c>
      <c r="H9" s="314" t="s">
        <v>170</v>
      </c>
      <c r="I9" s="313" t="s">
        <v>170</v>
      </c>
    </row>
    <row r="10" spans="2:10">
      <c r="B10" s="179">
        <v>2000</v>
      </c>
      <c r="C10" s="355">
        <v>1.4</v>
      </c>
      <c r="D10" s="356">
        <f>D11-C11</f>
        <v>30.810000000000002</v>
      </c>
      <c r="E10" s="458">
        <v>39.048000000000002</v>
      </c>
      <c r="F10" s="413">
        <v>0.7</v>
      </c>
      <c r="G10" s="335">
        <f>D10*F10*8766/10^3</f>
        <v>189.05632200000002</v>
      </c>
      <c r="H10" s="361">
        <f>E10*F10*8766/1000</f>
        <v>239.60633759999999</v>
      </c>
      <c r="I10" s="461">
        <v>197.16060941987601</v>
      </c>
    </row>
    <row r="11" spans="2:10">
      <c r="B11" s="74">
        <v>2001</v>
      </c>
      <c r="C11" s="357">
        <v>1.54</v>
      </c>
      <c r="D11" s="75">
        <f>D12-C12</f>
        <v>32.35</v>
      </c>
      <c r="E11" s="459">
        <v>29.858000000000001</v>
      </c>
      <c r="F11" s="414">
        <v>0.7</v>
      </c>
      <c r="G11" s="219">
        <f>(D10+(D11-D10)/4)*$F11*8766/10^3</f>
        <v>191.41875899999999</v>
      </c>
      <c r="H11" s="360">
        <f>(E10+(E11-E10)/4)*$F11*8766/10^3</f>
        <v>225.50841809999997</v>
      </c>
      <c r="I11" s="449">
        <v>199.07950291697901</v>
      </c>
    </row>
    <row r="12" spans="2:10">
      <c r="B12" s="74">
        <v>2002</v>
      </c>
      <c r="C12" s="357">
        <v>1.65</v>
      </c>
      <c r="D12" s="412">
        <v>34</v>
      </c>
      <c r="E12" s="459">
        <v>41.322000000000003</v>
      </c>
      <c r="F12" s="415">
        <v>0.7</v>
      </c>
      <c r="G12" s="219">
        <f t="shared" ref="G12:G23" si="0">(D11+(D12-D11)/4)*F12*8766/10^3</f>
        <v>201.03725249999999</v>
      </c>
      <c r="H12" s="360">
        <f t="shared" ref="H12:H23" si="1">(E11+(E12-E11)/4)*$F12*8766/10^3</f>
        <v>200.80100880000001</v>
      </c>
      <c r="I12" s="449">
        <v>214.68335167586201</v>
      </c>
    </row>
    <row r="13" spans="2:10">
      <c r="B13" s="74">
        <v>2003</v>
      </c>
      <c r="C13" s="75">
        <f t="shared" ref="C13:C19" si="2">D13-D12</f>
        <v>2.4142829120662483</v>
      </c>
      <c r="D13" s="75">
        <f>D12*(D14/D12)^(1/2)</f>
        <v>36.414282912066248</v>
      </c>
      <c r="E13" s="459">
        <v>42.792000000000002</v>
      </c>
      <c r="F13" s="414">
        <v>0.7</v>
      </c>
      <c r="G13" s="219">
        <f t="shared" si="0"/>
        <v>212.33443070125526</v>
      </c>
      <c r="H13" s="360">
        <f t="shared" si="1"/>
        <v>255.81510989999998</v>
      </c>
      <c r="I13" s="449">
        <v>227.86445755922199</v>
      </c>
    </row>
    <row r="14" spans="2:10">
      <c r="B14" s="74">
        <v>2004</v>
      </c>
      <c r="C14" s="71">
        <f t="shared" si="2"/>
        <v>2.5857170879337517</v>
      </c>
      <c r="D14" s="409">
        <v>39</v>
      </c>
      <c r="E14" s="459">
        <v>44.335000000000001</v>
      </c>
      <c r="F14" s="414">
        <v>0.7</v>
      </c>
      <c r="G14" s="219">
        <f t="shared" si="0"/>
        <v>227.41194210376568</v>
      </c>
      <c r="H14" s="360">
        <f t="shared" si="1"/>
        <v>264.94730955</v>
      </c>
      <c r="I14" s="449">
        <v>245.51629955172999</v>
      </c>
    </row>
    <row r="15" spans="2:10" ht="13" customHeight="1">
      <c r="B15" s="74">
        <v>2005</v>
      </c>
      <c r="C15" s="220">
        <f t="shared" si="2"/>
        <v>2</v>
      </c>
      <c r="D15" s="409">
        <v>41</v>
      </c>
      <c r="E15" s="459">
        <v>46.045000000000002</v>
      </c>
      <c r="F15" s="414">
        <v>0.7</v>
      </c>
      <c r="G15" s="219">
        <f t="shared" si="0"/>
        <v>242.37989999999999</v>
      </c>
      <c r="H15" s="360">
        <f t="shared" si="1"/>
        <v>274.67165249999999</v>
      </c>
      <c r="I15" s="449">
        <v>265.736272080481</v>
      </c>
    </row>
    <row r="16" spans="2:10">
      <c r="B16" s="74">
        <v>2006</v>
      </c>
      <c r="C16" s="220">
        <f t="shared" si="2"/>
        <v>3</v>
      </c>
      <c r="D16" s="409">
        <v>44</v>
      </c>
      <c r="E16" s="459">
        <v>48.475000000000001</v>
      </c>
      <c r="F16" s="414">
        <v>0.7</v>
      </c>
      <c r="G16" s="219">
        <f t="shared" si="0"/>
        <v>256.18635</v>
      </c>
      <c r="H16" s="360">
        <f t="shared" si="1"/>
        <v>286.26907050000005</v>
      </c>
      <c r="I16" s="449">
        <v>281.50565030315698</v>
      </c>
    </row>
    <row r="17" spans="2:14">
      <c r="B17" s="74">
        <v>2007</v>
      </c>
      <c r="C17" s="220">
        <f t="shared" si="2"/>
        <v>4</v>
      </c>
      <c r="D17" s="409">
        <v>48</v>
      </c>
      <c r="E17" s="459">
        <v>51.076000000000001</v>
      </c>
      <c r="F17" s="414">
        <v>0.7</v>
      </c>
      <c r="G17" s="219">
        <f t="shared" si="0"/>
        <v>276.12899999999996</v>
      </c>
      <c r="H17" s="360">
        <f t="shared" si="1"/>
        <v>301.44235905000005</v>
      </c>
      <c r="I17" s="449">
        <v>300.20522452974598</v>
      </c>
    </row>
    <row r="18" spans="2:14">
      <c r="B18" s="74">
        <v>2008</v>
      </c>
      <c r="C18" s="220">
        <f t="shared" si="2"/>
        <v>4</v>
      </c>
      <c r="D18" s="409">
        <v>52</v>
      </c>
      <c r="E18" s="459">
        <v>53.939</v>
      </c>
      <c r="F18" s="414">
        <v>0.7</v>
      </c>
      <c r="G18" s="219">
        <f t="shared" si="0"/>
        <v>300.67379999999997</v>
      </c>
      <c r="H18" s="360">
        <f t="shared" si="1"/>
        <v>317.80453635000003</v>
      </c>
      <c r="I18" s="449">
        <v>314.15668730201799</v>
      </c>
    </row>
    <row r="19" spans="2:14">
      <c r="B19" s="74">
        <v>2009</v>
      </c>
      <c r="C19" s="220">
        <f t="shared" si="2"/>
        <v>2</v>
      </c>
      <c r="D19" s="409">
        <v>54</v>
      </c>
      <c r="E19" s="459">
        <v>57.271999999999998</v>
      </c>
      <c r="F19" s="414">
        <v>0.7</v>
      </c>
      <c r="G19" s="219">
        <f t="shared" si="0"/>
        <v>322.15050000000002</v>
      </c>
      <c r="H19" s="360">
        <f t="shared" si="1"/>
        <v>336.09348044999996</v>
      </c>
      <c r="I19" s="449">
        <v>330.52559059084899</v>
      </c>
    </row>
    <row r="20" spans="2:14">
      <c r="B20" s="182">
        <v>2010</v>
      </c>
      <c r="C20" s="220">
        <v>3</v>
      </c>
      <c r="D20" s="409">
        <v>62</v>
      </c>
      <c r="E20" s="459">
        <v>60.906999999999996</v>
      </c>
      <c r="F20" s="416">
        <v>0.7</v>
      </c>
      <c r="G20" s="219">
        <f t="shared" si="0"/>
        <v>343.62719999999996</v>
      </c>
      <c r="H20" s="360">
        <f t="shared" si="1"/>
        <v>357.00871814999999</v>
      </c>
      <c r="I20" s="449">
        <v>366.65114241462999</v>
      </c>
    </row>
    <row r="21" spans="2:14">
      <c r="B21" s="182">
        <v>2011</v>
      </c>
      <c r="C21" s="220">
        <v>5.9</v>
      </c>
      <c r="D21" s="409">
        <v>72</v>
      </c>
      <c r="E21" s="459">
        <v>66.555999999999997</v>
      </c>
      <c r="F21" s="417">
        <v>0.7</v>
      </c>
      <c r="G21" s="219">
        <f t="shared" si="0"/>
        <v>395.78489999999999</v>
      </c>
      <c r="H21" s="360">
        <f t="shared" si="1"/>
        <v>382.40338184999996</v>
      </c>
      <c r="I21" s="449">
        <v>409.766338440303</v>
      </c>
    </row>
    <row r="22" spans="2:14">
      <c r="B22" s="182">
        <v>2012</v>
      </c>
      <c r="C22" s="220">
        <v>9</v>
      </c>
      <c r="D22" s="409">
        <v>83</v>
      </c>
      <c r="E22" s="459">
        <v>70.915999999999997</v>
      </c>
      <c r="F22" s="414">
        <v>0.7</v>
      </c>
      <c r="G22" s="219">
        <f t="shared" si="0"/>
        <v>458.68094999999994</v>
      </c>
      <c r="H22" s="360">
        <f t="shared" si="1"/>
        <v>415.08938519999998</v>
      </c>
      <c r="I22" s="449">
        <v>435.025112316373</v>
      </c>
    </row>
    <row r="23" spans="2:14" ht="14" thickBot="1">
      <c r="B23" s="183">
        <v>2013</v>
      </c>
      <c r="C23" s="410">
        <f>D23-D22</f>
        <v>5</v>
      </c>
      <c r="D23" s="411">
        <v>88</v>
      </c>
      <c r="E23" s="460">
        <v>76.427000000000007</v>
      </c>
      <c r="F23" s="418">
        <v>0.7</v>
      </c>
      <c r="G23" s="362">
        <f t="shared" si="0"/>
        <v>516.97484999999995</v>
      </c>
      <c r="H23" s="363">
        <f t="shared" si="1"/>
        <v>443.60890874999996</v>
      </c>
      <c r="I23" s="462">
        <f>(I22/I21)*I22</f>
        <v>461.8408848960234</v>
      </c>
    </row>
    <row r="24" spans="2:14">
      <c r="H24" s="354"/>
      <c r="N24" s="71"/>
    </row>
    <row r="25" spans="2:14">
      <c r="H25" s="345"/>
      <c r="N25" s="71"/>
    </row>
    <row r="26" spans="2:14">
      <c r="B26" s="68" t="s">
        <v>54</v>
      </c>
      <c r="H26" s="345"/>
      <c r="N26" s="71"/>
    </row>
    <row r="27" spans="2:14" ht="13" customHeight="1" thickBot="1">
      <c r="H27" s="346"/>
      <c r="N27" s="71"/>
    </row>
    <row r="28" spans="2:14" ht="14" thickBot="1">
      <c r="B28" s="273" t="s">
        <v>65</v>
      </c>
      <c r="C28" s="318"/>
      <c r="D28" s="318"/>
      <c r="E28" s="318"/>
      <c r="F28" s="318"/>
      <c r="G28" s="318"/>
      <c r="H28" s="323"/>
      <c r="N28" s="71"/>
    </row>
    <row r="29" spans="2:14">
      <c r="B29" s="364" t="s">
        <v>43</v>
      </c>
      <c r="C29" s="304" t="s">
        <v>89</v>
      </c>
      <c r="D29" s="70"/>
      <c r="E29" s="70"/>
      <c r="F29" s="70"/>
      <c r="G29" s="70"/>
      <c r="H29" s="234"/>
    </row>
    <row r="30" spans="2:14">
      <c r="B30" s="358"/>
      <c r="C30" s="79" t="s">
        <v>100</v>
      </c>
      <c r="D30" s="72"/>
      <c r="E30" s="72"/>
      <c r="F30" s="72"/>
      <c r="G30" s="72"/>
      <c r="H30" s="73"/>
    </row>
    <row r="31" spans="2:14">
      <c r="B31" s="347"/>
      <c r="C31" s="283"/>
      <c r="D31" s="72"/>
      <c r="E31" s="72"/>
      <c r="F31" s="72"/>
      <c r="G31" s="72"/>
      <c r="H31" s="73"/>
    </row>
    <row r="32" spans="2:14">
      <c r="B32" s="349" t="s">
        <v>43</v>
      </c>
      <c r="C32" s="197" t="s">
        <v>231</v>
      </c>
      <c r="D32" s="136"/>
      <c r="E32" s="136"/>
      <c r="F32" s="136"/>
      <c r="G32" s="136"/>
      <c r="H32" s="248"/>
    </row>
    <row r="33" spans="2:8">
      <c r="B33" s="349"/>
      <c r="C33" s="210" t="s">
        <v>232</v>
      </c>
      <c r="D33" s="136"/>
      <c r="E33" s="136"/>
      <c r="F33" s="136"/>
      <c r="G33" s="136"/>
      <c r="H33" s="248"/>
    </row>
    <row r="34" spans="2:8">
      <c r="B34" s="349"/>
      <c r="C34" s="210"/>
      <c r="D34" s="136"/>
      <c r="E34" s="136"/>
      <c r="F34" s="136"/>
      <c r="G34" s="136"/>
      <c r="H34" s="248"/>
    </row>
    <row r="35" spans="2:8">
      <c r="B35" s="331" t="s">
        <v>43</v>
      </c>
      <c r="C35" s="79" t="s">
        <v>219</v>
      </c>
      <c r="D35" s="136"/>
      <c r="E35" s="136"/>
      <c r="F35" s="136"/>
      <c r="G35" s="136"/>
      <c r="H35" s="248"/>
    </row>
    <row r="36" spans="2:8">
      <c r="B36" s="350"/>
      <c r="C36" s="79"/>
      <c r="D36" s="72"/>
      <c r="E36" s="72"/>
      <c r="F36" s="72"/>
      <c r="G36" s="72"/>
      <c r="H36" s="73"/>
    </row>
    <row r="37" spans="2:8">
      <c r="B37" s="351" t="s">
        <v>31</v>
      </c>
      <c r="C37" s="79" t="s">
        <v>86</v>
      </c>
      <c r="D37" s="72"/>
      <c r="E37" s="72"/>
      <c r="F37" s="72"/>
      <c r="G37" s="72"/>
      <c r="H37" s="73"/>
    </row>
    <row r="38" spans="2:8">
      <c r="B38" s="351"/>
      <c r="C38" s="79" t="s">
        <v>83</v>
      </c>
      <c r="D38" s="72"/>
      <c r="E38" s="72"/>
      <c r="F38" s="72"/>
      <c r="G38" s="72"/>
      <c r="H38" s="73"/>
    </row>
    <row r="39" spans="2:8">
      <c r="B39" s="74"/>
      <c r="C39" s="79"/>
      <c r="D39" s="72"/>
      <c r="E39" s="72"/>
      <c r="F39" s="72"/>
      <c r="G39" s="72"/>
      <c r="H39" s="73"/>
    </row>
    <row r="40" spans="2:8">
      <c r="B40" s="196" t="s">
        <v>202</v>
      </c>
      <c r="C40" s="79" t="s">
        <v>35</v>
      </c>
      <c r="D40" s="72"/>
      <c r="E40" s="72"/>
      <c r="F40" s="72"/>
      <c r="G40" s="72"/>
      <c r="H40" s="73"/>
    </row>
    <row r="41" spans="2:8">
      <c r="B41" s="74"/>
      <c r="C41" s="79" t="s">
        <v>100</v>
      </c>
      <c r="D41" s="72"/>
      <c r="E41" s="72"/>
      <c r="F41" s="72"/>
      <c r="G41" s="72"/>
      <c r="H41" s="73"/>
    </row>
    <row r="42" spans="2:8">
      <c r="B42" s="196"/>
      <c r="C42" s="79"/>
      <c r="D42" s="72"/>
      <c r="E42" s="72"/>
      <c r="F42" s="72"/>
      <c r="G42" s="72"/>
      <c r="H42" s="73"/>
    </row>
    <row r="43" spans="2:8">
      <c r="B43" s="243" t="s">
        <v>203</v>
      </c>
      <c r="C43" s="89" t="s">
        <v>199</v>
      </c>
      <c r="D43" s="72"/>
      <c r="E43" s="72"/>
      <c r="F43" s="72"/>
      <c r="G43" s="72"/>
      <c r="H43" s="73"/>
    </row>
    <row r="44" spans="2:8" ht="14" thickBot="1">
      <c r="B44" s="243"/>
      <c r="C44" s="366" t="s">
        <v>200</v>
      </c>
      <c r="D44" s="72"/>
      <c r="E44" s="72"/>
      <c r="F44" s="72"/>
      <c r="G44" s="72"/>
      <c r="H44" s="73"/>
    </row>
    <row r="45" spans="2:8" ht="14" thickBot="1">
      <c r="B45" s="365"/>
      <c r="C45" s="83"/>
      <c r="D45" s="100"/>
      <c r="E45" s="100"/>
      <c r="F45" s="100"/>
      <c r="G45" s="100"/>
      <c r="H45" s="84"/>
    </row>
  </sheetData>
  <mergeCells count="1">
    <mergeCell ref="B6:I6"/>
  </mergeCells>
  <phoneticPr fontId="7"/>
  <hyperlinks>
    <hyperlink ref="C33" r:id="rId1"/>
  </hyperlink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8" tint="0.39997558519241921"/>
    <pageSetUpPr fitToPage="1"/>
  </sheetPr>
  <dimension ref="B2:P43"/>
  <sheetViews>
    <sheetView showGridLines="0" workbookViewId="0">
      <selection activeCell="N29" sqref="N29"/>
    </sheetView>
  </sheetViews>
  <sheetFormatPr baseColWidth="10" defaultColWidth="11" defaultRowHeight="13" x14ac:dyDescent="0"/>
  <cols>
    <col min="1" max="1" width="2.42578125" style="69" customWidth="1"/>
    <col min="2" max="2" width="14.140625" style="69" customWidth="1"/>
    <col min="3" max="3" width="11.140625" style="69" customWidth="1"/>
    <col min="4" max="4" width="11.7109375" style="69" customWidth="1"/>
    <col min="5" max="5" width="11.85546875" style="69" customWidth="1"/>
    <col min="6" max="6" width="11.140625" style="69" customWidth="1"/>
    <col min="7" max="7" width="9.5703125" style="69" customWidth="1"/>
    <col min="8" max="8" width="7.85546875" style="69" customWidth="1"/>
    <col min="9" max="9" width="12.85546875" style="69" customWidth="1"/>
    <col min="10" max="10" width="14.42578125" style="69" customWidth="1"/>
    <col min="11" max="11" width="3" style="69" customWidth="1"/>
    <col min="12" max="12" width="11" style="69"/>
    <col min="13" max="13" width="11.85546875" style="69" customWidth="1"/>
    <col min="14" max="16384" width="11" style="69"/>
  </cols>
  <sheetData>
    <row r="2" spans="2:15">
      <c r="B2" s="68" t="s">
        <v>236</v>
      </c>
    </row>
    <row r="3" spans="2:15" ht="14" thickBot="1">
      <c r="B3" s="68" t="s">
        <v>195</v>
      </c>
      <c r="M3" s="72"/>
    </row>
    <row r="4" spans="2:15" ht="14" thickBot="1">
      <c r="B4" s="430"/>
      <c r="C4" s="68" t="s">
        <v>254</v>
      </c>
      <c r="D4" s="68"/>
      <c r="E4" s="68"/>
      <c r="F4" s="68"/>
      <c r="G4" s="68"/>
      <c r="H4" s="68"/>
      <c r="I4" s="68"/>
      <c r="J4" s="68"/>
    </row>
    <row r="5" spans="2:15" ht="14" thickBot="1">
      <c r="M5" s="72"/>
    </row>
    <row r="6" spans="2:15">
      <c r="B6" s="176"/>
      <c r="C6" s="308" t="s">
        <v>92</v>
      </c>
      <c r="D6" s="308" t="s">
        <v>237</v>
      </c>
      <c r="E6" s="308" t="s">
        <v>238</v>
      </c>
      <c r="F6" s="176" t="s">
        <v>239</v>
      </c>
      <c r="G6" s="308" t="s">
        <v>241</v>
      </c>
      <c r="H6" s="306" t="s">
        <v>43</v>
      </c>
      <c r="I6" s="306" t="s">
        <v>242</v>
      </c>
      <c r="J6" s="307" t="s">
        <v>242</v>
      </c>
      <c r="L6" s="136"/>
      <c r="M6" s="136"/>
      <c r="N6" s="72"/>
    </row>
    <row r="7" spans="2:15">
      <c r="B7" s="177"/>
      <c r="C7" s="311" t="s">
        <v>143</v>
      </c>
      <c r="D7" s="311" t="s">
        <v>167</v>
      </c>
      <c r="E7" s="311" t="s">
        <v>167</v>
      </c>
      <c r="F7" s="177" t="s">
        <v>91</v>
      </c>
      <c r="G7" s="311" t="s">
        <v>240</v>
      </c>
      <c r="H7" s="309" t="s">
        <v>144</v>
      </c>
      <c r="I7" s="309" t="s">
        <v>240</v>
      </c>
      <c r="J7" s="310" t="s">
        <v>243</v>
      </c>
      <c r="L7" s="136"/>
      <c r="M7" s="136"/>
      <c r="N7" s="72"/>
    </row>
    <row r="8" spans="2:15">
      <c r="B8" s="177"/>
      <c r="C8" s="311"/>
      <c r="D8" s="311"/>
      <c r="E8" s="311"/>
      <c r="F8" s="177"/>
      <c r="G8" s="311"/>
      <c r="H8" s="309"/>
      <c r="I8" s="309"/>
      <c r="J8" s="310"/>
      <c r="L8" s="136"/>
      <c r="M8" s="136"/>
      <c r="N8" s="72"/>
      <c r="O8" s="367"/>
    </row>
    <row r="9" spans="2:15" ht="14" thickBot="1">
      <c r="B9" s="285"/>
      <c r="C9" s="314" t="s">
        <v>168</v>
      </c>
      <c r="D9" s="314" t="s">
        <v>168</v>
      </c>
      <c r="E9" s="314" t="s">
        <v>168</v>
      </c>
      <c r="F9" s="285"/>
      <c r="G9" s="311" t="s">
        <v>168</v>
      </c>
      <c r="H9" s="309"/>
      <c r="I9" s="312" t="s">
        <v>170</v>
      </c>
      <c r="J9" s="313" t="s">
        <v>170</v>
      </c>
      <c r="L9" s="136"/>
      <c r="M9" s="136"/>
      <c r="N9" s="72"/>
      <c r="O9" s="367"/>
    </row>
    <row r="10" spans="2:15">
      <c r="B10" s="180">
        <v>1999</v>
      </c>
      <c r="C10" s="464">
        <f t="shared" ref="C10:C16" si="0">C11-E11</f>
        <v>215.81046346122864</v>
      </c>
      <c r="D10" s="419"/>
      <c r="E10" s="420"/>
      <c r="F10" s="368">
        <f>F11-(F$23-F$15)/8</f>
        <v>0.97875000000000012</v>
      </c>
      <c r="G10" s="369">
        <f t="shared" ref="G10:G22" si="1">C10*F10</f>
        <v>211.22449111267755</v>
      </c>
      <c r="H10" s="180"/>
      <c r="I10" s="232"/>
      <c r="J10" s="468"/>
      <c r="L10" s="175"/>
      <c r="M10" s="175"/>
      <c r="N10" s="72"/>
      <c r="O10" s="367"/>
    </row>
    <row r="11" spans="2:15">
      <c r="B11" s="74">
        <v>2000</v>
      </c>
      <c r="C11" s="465">
        <f t="shared" si="0"/>
        <v>228.96394417897821</v>
      </c>
      <c r="D11" s="421"/>
      <c r="E11" s="422">
        <v>13.153480717749561</v>
      </c>
      <c r="F11" s="359">
        <f>F12-(F$23-F$15)/8</f>
        <v>0.97500000000000009</v>
      </c>
      <c r="G11" s="212">
        <f t="shared" si="1"/>
        <v>223.23984557450376</v>
      </c>
      <c r="H11" s="370">
        <v>0.82799999999999996</v>
      </c>
      <c r="I11" s="160">
        <f t="shared" ref="I11:I20" si="2">(C11-E11+E11/4)*8766*H11/10^3</f>
        <v>1590.2736710746967</v>
      </c>
      <c r="J11" s="469">
        <f>(G10+(G11-G10)/4)*8766*H11/1000</f>
        <v>1554.9223457925698</v>
      </c>
      <c r="L11" s="371"/>
      <c r="M11" s="71"/>
      <c r="N11" s="72"/>
      <c r="O11" s="367"/>
    </row>
    <row r="12" spans="2:15">
      <c r="B12" s="74">
        <v>2001</v>
      </c>
      <c r="C12" s="465">
        <f t="shared" si="0"/>
        <v>243.93031557388991</v>
      </c>
      <c r="D12" s="421"/>
      <c r="E12" s="422">
        <v>14.966371394911709</v>
      </c>
      <c r="F12" s="359">
        <f>F13-(F$23-F$15)/8</f>
        <v>0.97125000000000006</v>
      </c>
      <c r="G12" s="212">
        <f t="shared" si="1"/>
        <v>236.91731900114058</v>
      </c>
      <c r="H12" s="370">
        <v>0.82799999999999996</v>
      </c>
      <c r="I12" s="160">
        <f t="shared" si="2"/>
        <v>1689.0344987202739</v>
      </c>
      <c r="J12" s="469">
        <f t="shared" ref="J12:J24" si="3">(G11+(G12-G11)/4)*8766*H12/1000</f>
        <v>1645.1487861974358</v>
      </c>
      <c r="L12" s="371"/>
      <c r="M12" s="136"/>
      <c r="N12" s="72"/>
      <c r="O12" s="367"/>
    </row>
    <row r="13" spans="2:15">
      <c r="B13" s="74">
        <v>2002</v>
      </c>
      <c r="C13" s="465">
        <f t="shared" si="0"/>
        <v>261.43031557388991</v>
      </c>
      <c r="D13" s="421"/>
      <c r="E13" s="422">
        <v>17.5</v>
      </c>
      <c r="F13" s="359">
        <f>F14-(F$23-F$15)/8</f>
        <v>0.96750000000000003</v>
      </c>
      <c r="G13" s="212">
        <f t="shared" si="1"/>
        <v>252.93383031773851</v>
      </c>
      <c r="H13" s="370">
        <v>0.82799999999999996</v>
      </c>
      <c r="I13" s="160">
        <f t="shared" si="2"/>
        <v>1802.2615601535551</v>
      </c>
      <c r="J13" s="469">
        <f t="shared" si="3"/>
        <v>1748.6676096130589</v>
      </c>
      <c r="L13" s="371"/>
      <c r="M13" s="136"/>
      <c r="O13" s="367"/>
    </row>
    <row r="14" spans="2:15">
      <c r="B14" s="74">
        <v>2003</v>
      </c>
      <c r="C14" s="465">
        <f t="shared" si="0"/>
        <v>274.35231557388994</v>
      </c>
      <c r="D14" s="421"/>
      <c r="E14" s="422">
        <v>12.922000000000001</v>
      </c>
      <c r="F14" s="359">
        <f>F15-(F$23-F$15)/8</f>
        <v>0.96375</v>
      </c>
      <c r="G14" s="212">
        <f t="shared" si="1"/>
        <v>264.40704413433645</v>
      </c>
      <c r="H14" s="370">
        <v>0.82799999999999996</v>
      </c>
      <c r="I14" s="160">
        <f t="shared" si="2"/>
        <v>1920.9738353175551</v>
      </c>
      <c r="J14" s="469">
        <f t="shared" si="3"/>
        <v>1856.6753258455385</v>
      </c>
      <c r="K14" s="367"/>
      <c r="O14" s="367"/>
    </row>
    <row r="15" spans="2:15">
      <c r="B15" s="74">
        <v>2004</v>
      </c>
      <c r="C15" s="465">
        <f t="shared" si="0"/>
        <v>291.24431557388993</v>
      </c>
      <c r="D15" s="421"/>
      <c r="E15" s="422">
        <v>16.891999999999999</v>
      </c>
      <c r="F15" s="359">
        <v>0.96</v>
      </c>
      <c r="G15" s="212">
        <f t="shared" si="1"/>
        <v>279.59454295093434</v>
      </c>
      <c r="H15" s="370">
        <v>0.82799999999999996</v>
      </c>
      <c r="I15" s="160">
        <f t="shared" si="2"/>
        <v>2021.9687271135554</v>
      </c>
      <c r="J15" s="469">
        <f t="shared" si="3"/>
        <v>1946.6905575016026</v>
      </c>
      <c r="K15" s="367"/>
      <c r="M15" s="367"/>
      <c r="O15" s="367"/>
    </row>
    <row r="16" spans="2:15">
      <c r="B16" s="74">
        <v>2005</v>
      </c>
      <c r="C16" s="465">
        <f t="shared" si="0"/>
        <v>309.98531557388992</v>
      </c>
      <c r="D16" s="421"/>
      <c r="E16" s="422">
        <v>18.741</v>
      </c>
      <c r="F16" s="359">
        <f>F15+(F$23-F$15)/8</f>
        <v>0.95624999999999993</v>
      </c>
      <c r="G16" s="212">
        <f t="shared" si="1"/>
        <v>296.4234580175322</v>
      </c>
      <c r="H16" s="370">
        <v>0.82799999999999996</v>
      </c>
      <c r="I16" s="160">
        <f t="shared" si="2"/>
        <v>2147.9301774675555</v>
      </c>
      <c r="J16" s="469">
        <f t="shared" si="3"/>
        <v>2059.9036419656095</v>
      </c>
      <c r="M16" s="367"/>
      <c r="O16" s="367"/>
    </row>
    <row r="17" spans="2:16">
      <c r="B17" s="74">
        <v>2006</v>
      </c>
      <c r="C17" s="466">
        <v>330</v>
      </c>
      <c r="D17" s="423"/>
      <c r="E17" s="422">
        <v>20.014684426110094</v>
      </c>
      <c r="F17" s="359">
        <f t="shared" ref="F17:F22" si="4">F16+(F$23-F$15)/8</f>
        <v>0.9524999999999999</v>
      </c>
      <c r="G17" s="212">
        <f t="shared" si="1"/>
        <v>314.32499999999999</v>
      </c>
      <c r="H17" s="370">
        <v>0.82799999999999996</v>
      </c>
      <c r="I17" s="160">
        <f t="shared" si="2"/>
        <v>2286.2681825951663</v>
      </c>
      <c r="J17" s="469">
        <f t="shared" si="3"/>
        <v>2183.9984291316277</v>
      </c>
      <c r="M17" s="367"/>
      <c r="O17" s="367"/>
    </row>
    <row r="18" spans="2:16">
      <c r="B18" s="182">
        <v>2007</v>
      </c>
      <c r="C18" s="465">
        <f>C17+E18</f>
        <v>357.01161554343435</v>
      </c>
      <c r="D18" s="421"/>
      <c r="E18" s="424">
        <v>27.011615543434331</v>
      </c>
      <c r="F18" s="359">
        <f t="shared" si="4"/>
        <v>0.94874999999999987</v>
      </c>
      <c r="G18" s="212">
        <f t="shared" si="1"/>
        <v>338.71477024683327</v>
      </c>
      <c r="H18" s="370">
        <v>0.82799999999999996</v>
      </c>
      <c r="I18" s="160">
        <f t="shared" si="2"/>
        <v>2444.2360911237251</v>
      </c>
      <c r="J18" s="469">
        <f t="shared" si="3"/>
        <v>2325.7055528786341</v>
      </c>
      <c r="M18" s="367"/>
      <c r="O18" s="367"/>
    </row>
    <row r="19" spans="2:16">
      <c r="B19" s="182">
        <v>2008</v>
      </c>
      <c r="C19" s="465">
        <f>C18+E19</f>
        <v>383.64982391936439</v>
      </c>
      <c r="D19" s="421"/>
      <c r="E19" s="424">
        <v>26.638208375930059</v>
      </c>
      <c r="F19" s="359">
        <f t="shared" si="4"/>
        <v>0.94499999999999984</v>
      </c>
      <c r="G19" s="212">
        <f t="shared" si="1"/>
        <v>362.54908360379932</v>
      </c>
      <c r="H19" s="370">
        <v>0.82799999999999996</v>
      </c>
      <c r="I19" s="160">
        <f t="shared" si="2"/>
        <v>2639.6155251619457</v>
      </c>
      <c r="J19" s="469">
        <f t="shared" si="3"/>
        <v>2501.7246430281803</v>
      </c>
      <c r="M19" s="367"/>
      <c r="O19" s="367"/>
    </row>
    <row r="20" spans="2:16">
      <c r="B20" s="182">
        <v>2009</v>
      </c>
      <c r="C20" s="465">
        <f>C19+E20</f>
        <v>409.26253540512647</v>
      </c>
      <c r="D20" s="421"/>
      <c r="E20" s="424">
        <v>25.612711485762059</v>
      </c>
      <c r="F20" s="359">
        <f t="shared" si="4"/>
        <v>0.94124999999999981</v>
      </c>
      <c r="G20" s="212">
        <f t="shared" si="1"/>
        <v>385.21836145007524</v>
      </c>
      <c r="H20" s="370">
        <v>0.82799999999999996</v>
      </c>
      <c r="I20" s="160">
        <f t="shared" si="2"/>
        <v>2831.1014201421058</v>
      </c>
      <c r="J20" s="469">
        <f t="shared" si="3"/>
        <v>2672.605971116403</v>
      </c>
      <c r="M20" s="367"/>
      <c r="O20" s="367"/>
    </row>
    <row r="21" spans="2:16">
      <c r="B21" s="74">
        <v>2010</v>
      </c>
      <c r="C21" s="465">
        <f>C20+D21</f>
        <v>446.50909317181402</v>
      </c>
      <c r="D21" s="425">
        <f>'DGTW 2010-2013'!C22/1000</f>
        <v>37.24655776668753</v>
      </c>
      <c r="E21" s="424"/>
      <c r="F21" s="359">
        <f t="shared" si="4"/>
        <v>0.93749999999999978</v>
      </c>
      <c r="G21" s="212">
        <f t="shared" si="1"/>
        <v>418.60227484857552</v>
      </c>
      <c r="H21" s="370">
        <v>0.82799999999999996</v>
      </c>
      <c r="I21" s="160">
        <f>(C21-D21+D21/4)*8766*H21/10^3</f>
        <v>3038.1151674334242</v>
      </c>
      <c r="J21" s="469">
        <f t="shared" si="3"/>
        <v>2856.5875822224948</v>
      </c>
      <c r="K21" s="78"/>
      <c r="L21" s="78"/>
      <c r="M21" s="372"/>
      <c r="N21" s="78"/>
      <c r="O21" s="372"/>
      <c r="P21" s="78"/>
    </row>
    <row r="22" spans="2:16">
      <c r="B22" s="182">
        <v>2011</v>
      </c>
      <c r="C22" s="465">
        <f>C21+D22</f>
        <v>483.90127073187625</v>
      </c>
      <c r="D22" s="425">
        <f>'DGTW 2010-2013'!C45/1000</f>
        <v>37.392177560062223</v>
      </c>
      <c r="E22" s="426"/>
      <c r="F22" s="359">
        <f t="shared" si="4"/>
        <v>0.93374999999999975</v>
      </c>
      <c r="G22" s="212">
        <f t="shared" si="1"/>
        <v>451.84281154588933</v>
      </c>
      <c r="H22" s="370">
        <v>0.82799999999999996</v>
      </c>
      <c r="I22" s="160">
        <f>(C22-D22+D22/4)*8766*H22/10^3</f>
        <v>3308.7241569938737</v>
      </c>
      <c r="J22" s="469">
        <f t="shared" si="3"/>
        <v>3098.636138965674</v>
      </c>
      <c r="K22" s="78"/>
      <c r="L22" s="78"/>
      <c r="M22" s="372"/>
      <c r="N22" s="78"/>
      <c r="O22" s="372"/>
      <c r="P22" s="78"/>
    </row>
    <row r="23" spans="2:16">
      <c r="B23" s="182">
        <v>2012</v>
      </c>
      <c r="C23" s="465">
        <f>C22+D23</f>
        <v>520.79353449759139</v>
      </c>
      <c r="D23" s="425">
        <f>'DGTW 2010-2013'!C68/1000</f>
        <v>36.892263765715178</v>
      </c>
      <c r="E23" s="422"/>
      <c r="F23" s="359">
        <v>0.93</v>
      </c>
      <c r="G23" s="212">
        <f>F23*C23</f>
        <v>484.33798708276004</v>
      </c>
      <c r="H23" s="370">
        <v>0.82799999999999996</v>
      </c>
      <c r="I23" s="160">
        <f>(C23-D23+D23/4)*8766*H23/10^3</f>
        <v>3579.2187304103422</v>
      </c>
      <c r="J23" s="469">
        <f t="shared" si="3"/>
        <v>3338.5516939298632</v>
      </c>
      <c r="M23" s="367"/>
      <c r="O23" s="367"/>
    </row>
    <row r="24" spans="2:16" ht="14" thickBot="1">
      <c r="B24" s="183">
        <v>2013</v>
      </c>
      <c r="C24" s="467">
        <f>C23+D24</f>
        <v>564.47954620397741</v>
      </c>
      <c r="D24" s="427">
        <f>'DGTW 2010-2013'!C91/1000</f>
        <v>43.686011706386019</v>
      </c>
      <c r="E24" s="428"/>
      <c r="F24" s="373">
        <v>0.93</v>
      </c>
      <c r="G24" s="226">
        <f>F24*C24</f>
        <v>524.965977969699</v>
      </c>
      <c r="H24" s="374">
        <v>0.82799999999999996</v>
      </c>
      <c r="I24" s="159">
        <f>(C24-D24+D24/4)*8766*H24/10^3</f>
        <v>3859.3196069540372</v>
      </c>
      <c r="J24" s="470">
        <f t="shared" si="3"/>
        <v>3589.1672344672543</v>
      </c>
      <c r="M24" s="367"/>
      <c r="O24" s="367"/>
    </row>
    <row r="25" spans="2:16">
      <c r="B25" s="72"/>
      <c r="C25" s="375"/>
      <c r="D25" s="75"/>
      <c r="E25" s="75"/>
      <c r="F25" s="75"/>
      <c r="G25" s="75"/>
      <c r="H25" s="72"/>
      <c r="I25" s="75"/>
      <c r="J25" s="367"/>
    </row>
    <row r="26" spans="2:16">
      <c r="B26" s="68" t="s">
        <v>54</v>
      </c>
    </row>
    <row r="27" spans="2:16" ht="14" thickBot="1">
      <c r="B27" s="68"/>
    </row>
    <row r="28" spans="2:16" ht="14" thickBot="1">
      <c r="B28" s="488" t="s">
        <v>65</v>
      </c>
      <c r="C28" s="489"/>
      <c r="D28" s="489"/>
      <c r="E28" s="489"/>
      <c r="F28" s="489"/>
      <c r="G28" s="489"/>
      <c r="H28" s="489"/>
      <c r="I28" s="489"/>
      <c r="J28" s="490"/>
    </row>
    <row r="29" spans="2:16">
      <c r="B29" s="376" t="s">
        <v>7</v>
      </c>
      <c r="C29" s="72" t="s">
        <v>8</v>
      </c>
      <c r="D29" s="72"/>
      <c r="E29" s="72"/>
      <c r="F29" s="72"/>
      <c r="G29" s="72"/>
      <c r="H29" s="72"/>
      <c r="I29" s="72"/>
      <c r="J29" s="73"/>
    </row>
    <row r="30" spans="2:16">
      <c r="B30" s="199"/>
      <c r="C30" s="72" t="s">
        <v>9</v>
      </c>
      <c r="D30" s="72"/>
      <c r="E30" s="72"/>
      <c r="F30" s="72"/>
      <c r="G30" s="72"/>
      <c r="H30" s="72"/>
      <c r="I30" s="72"/>
      <c r="J30" s="73"/>
    </row>
    <row r="31" spans="2:16">
      <c r="B31" s="199"/>
      <c r="C31" s="72" t="s">
        <v>87</v>
      </c>
      <c r="D31" s="72"/>
      <c r="E31" s="72"/>
      <c r="F31" s="72"/>
      <c r="G31" s="72"/>
      <c r="H31" s="72"/>
      <c r="I31" s="72"/>
      <c r="J31" s="73"/>
    </row>
    <row r="32" spans="2:16">
      <c r="B32" s="199"/>
      <c r="C32" s="72"/>
      <c r="D32" s="72"/>
      <c r="E32" s="72"/>
      <c r="F32" s="72"/>
      <c r="G32" s="72"/>
      <c r="H32" s="72"/>
      <c r="I32" s="72"/>
      <c r="J32" s="73"/>
    </row>
    <row r="33" spans="2:10">
      <c r="B33" s="377" t="s">
        <v>43</v>
      </c>
      <c r="C33" s="136" t="s">
        <v>71</v>
      </c>
      <c r="D33" s="72"/>
      <c r="E33" s="72"/>
      <c r="F33" s="72"/>
      <c r="G33" s="72"/>
      <c r="H33" s="72"/>
      <c r="I33" s="72"/>
      <c r="J33" s="73"/>
    </row>
    <row r="34" spans="2:10">
      <c r="B34" s="199"/>
      <c r="C34" s="72" t="s">
        <v>72</v>
      </c>
      <c r="D34" s="72"/>
      <c r="E34" s="72"/>
      <c r="F34" s="72"/>
      <c r="G34" s="72"/>
      <c r="H34" s="72"/>
      <c r="I34" s="72"/>
      <c r="J34" s="73"/>
    </row>
    <row r="35" spans="2:10">
      <c r="B35" s="199"/>
      <c r="C35" s="72" t="s">
        <v>99</v>
      </c>
      <c r="D35" s="72"/>
      <c r="E35" s="72"/>
      <c r="F35" s="72"/>
      <c r="G35" s="72"/>
      <c r="H35" s="72"/>
      <c r="I35" s="72"/>
      <c r="J35" s="73"/>
    </row>
    <row r="36" spans="2:10">
      <c r="B36" s="199"/>
      <c r="C36" s="72"/>
      <c r="D36" s="72"/>
      <c r="E36" s="72"/>
      <c r="F36" s="72"/>
      <c r="G36" s="72"/>
      <c r="H36" s="72"/>
      <c r="I36" s="72"/>
      <c r="J36" s="73"/>
    </row>
    <row r="37" spans="2:10">
      <c r="B37" s="199" t="s">
        <v>43</v>
      </c>
      <c r="C37" s="72" t="s">
        <v>70</v>
      </c>
      <c r="D37" s="72"/>
      <c r="E37" s="72"/>
      <c r="F37" s="72"/>
      <c r="G37" s="72"/>
      <c r="H37" s="72"/>
      <c r="I37" s="72"/>
      <c r="J37" s="73"/>
    </row>
    <row r="38" spans="2:10">
      <c r="B38" s="199"/>
      <c r="C38" s="72" t="s">
        <v>27</v>
      </c>
      <c r="D38" s="72"/>
      <c r="E38" s="72"/>
      <c r="F38" s="72"/>
      <c r="G38" s="72"/>
      <c r="H38" s="72"/>
      <c r="I38" s="72"/>
      <c r="J38" s="73"/>
    </row>
    <row r="39" spans="2:10">
      <c r="B39" s="199"/>
      <c r="C39" s="72"/>
      <c r="D39" s="72"/>
      <c r="E39" s="72"/>
      <c r="F39" s="72"/>
      <c r="G39" s="72"/>
      <c r="H39" s="72"/>
      <c r="I39" s="72"/>
      <c r="J39" s="73"/>
    </row>
    <row r="40" spans="2:10">
      <c r="B40" s="378" t="s">
        <v>43</v>
      </c>
      <c r="C40" s="72" t="s">
        <v>162</v>
      </c>
      <c r="D40" s="72"/>
      <c r="E40" s="72"/>
      <c r="F40" s="72"/>
      <c r="G40" s="72"/>
      <c r="H40" s="72"/>
      <c r="I40" s="72"/>
      <c r="J40" s="73"/>
    </row>
    <row r="41" spans="2:10">
      <c r="B41" s="378"/>
      <c r="C41" s="72" t="s">
        <v>163</v>
      </c>
      <c r="D41" s="72"/>
      <c r="E41" s="72"/>
      <c r="F41" s="72"/>
      <c r="G41" s="72"/>
      <c r="H41" s="72"/>
      <c r="I41" s="72"/>
      <c r="J41" s="73"/>
    </row>
    <row r="42" spans="2:10">
      <c r="B42" s="74"/>
      <c r="C42" s="72"/>
      <c r="D42" s="72"/>
      <c r="E42" s="72"/>
      <c r="F42" s="72"/>
      <c r="G42" s="72"/>
      <c r="H42" s="72"/>
      <c r="I42" s="72"/>
      <c r="J42" s="73"/>
    </row>
    <row r="43" spans="2:10" ht="14" thickBot="1">
      <c r="B43" s="379" t="s">
        <v>202</v>
      </c>
      <c r="C43" s="100" t="s">
        <v>252</v>
      </c>
      <c r="D43" s="100"/>
      <c r="E43" s="100"/>
      <c r="F43" s="100"/>
      <c r="G43" s="100"/>
      <c r="H43" s="100"/>
      <c r="I43" s="100"/>
      <c r="J43" s="84"/>
    </row>
  </sheetData>
  <mergeCells count="1">
    <mergeCell ref="B28:J28"/>
  </mergeCells>
  <phoneticPr fontId="7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91"/>
  <sheetViews>
    <sheetView workbookViewId="0">
      <selection activeCell="B2" sqref="B2"/>
    </sheetView>
  </sheetViews>
  <sheetFormatPr baseColWidth="10" defaultRowHeight="13" x14ac:dyDescent="0"/>
  <cols>
    <col min="3" max="3" width="11.42578125" customWidth="1"/>
    <col min="4" max="4" width="10.7109375" style="26"/>
    <col min="7" max="7" width="10.7109375" style="26"/>
  </cols>
  <sheetData>
    <row r="1" spans="2:15" s="26" customFormat="1"/>
    <row r="2" spans="2:15" s="26" customFormat="1">
      <c r="B2" s="26" t="s">
        <v>244</v>
      </c>
    </row>
    <row r="3" spans="2:15" s="26" customFormat="1"/>
    <row r="4" spans="2:15">
      <c r="B4" s="41" t="s">
        <v>130</v>
      </c>
      <c r="C4" s="26"/>
      <c r="E4" s="26"/>
      <c r="F4" s="26"/>
      <c r="H4" s="41" t="s">
        <v>128</v>
      </c>
      <c r="J4" s="26"/>
      <c r="N4" s="41" t="s">
        <v>158</v>
      </c>
    </row>
    <row r="5" spans="2:15">
      <c r="B5" s="26"/>
      <c r="C5" s="26"/>
      <c r="E5" s="26"/>
      <c r="F5" s="26"/>
      <c r="J5" s="26"/>
    </row>
    <row r="6" spans="2:15">
      <c r="B6" s="54" t="s">
        <v>118</v>
      </c>
      <c r="C6" s="55" t="s">
        <v>121</v>
      </c>
      <c r="D6" s="55" t="s">
        <v>122</v>
      </c>
      <c r="E6" s="55" t="s">
        <v>120</v>
      </c>
      <c r="F6" s="56" t="s">
        <v>119</v>
      </c>
      <c r="H6" s="54" t="s">
        <v>118</v>
      </c>
      <c r="I6" s="55" t="s">
        <v>121</v>
      </c>
      <c r="J6" s="55" t="s">
        <v>122</v>
      </c>
      <c r="K6" s="55" t="s">
        <v>120</v>
      </c>
      <c r="L6" s="56" t="s">
        <v>119</v>
      </c>
      <c r="N6" s="105">
        <f>12812-((1/23)*398)</f>
        <v>12794.695652173914</v>
      </c>
      <c r="O6" s="106" t="s">
        <v>132</v>
      </c>
    </row>
    <row r="7" spans="2:15">
      <c r="B7" s="57"/>
      <c r="C7" s="110">
        <v>13457</v>
      </c>
      <c r="D7" s="115">
        <v>1</v>
      </c>
      <c r="E7" s="115">
        <f>7575/17674</f>
        <v>0.42859567726604053</v>
      </c>
      <c r="F7" s="111">
        <f>E7*D7*C7</f>
        <v>5767.6120289691071</v>
      </c>
      <c r="H7" s="57"/>
      <c r="I7" s="110">
        <v>100</v>
      </c>
      <c r="J7" s="115">
        <v>1</v>
      </c>
      <c r="K7" s="115">
        <f>19/(61+19)</f>
        <v>0.23749999999999999</v>
      </c>
      <c r="L7" s="111">
        <f>K7*J7*I7</f>
        <v>23.75</v>
      </c>
    </row>
    <row r="8" spans="2:15">
      <c r="B8" s="57"/>
      <c r="C8" s="110">
        <v>14361</v>
      </c>
      <c r="D8" s="115">
        <v>1</v>
      </c>
      <c r="E8" s="115">
        <f>4452/9949</f>
        <v>0.44748215901095589</v>
      </c>
      <c r="F8" s="111">
        <f t="shared" ref="F8:F16" si="0">E8*D8*C8</f>
        <v>6426.2912855563372</v>
      </c>
      <c r="H8" s="57"/>
      <c r="I8" s="110">
        <v>114</v>
      </c>
      <c r="J8" s="115">
        <v>1</v>
      </c>
      <c r="K8" s="115">
        <f>10/40</f>
        <v>0.25</v>
      </c>
      <c r="L8" s="111">
        <f t="shared" ref="L8:L18" si="1">K8*J8*I8</f>
        <v>28.5</v>
      </c>
    </row>
    <row r="9" spans="2:15">
      <c r="B9" s="58"/>
      <c r="C9" s="110">
        <v>4501</v>
      </c>
      <c r="D9" s="115">
        <v>1</v>
      </c>
      <c r="E9" s="115">
        <f>760/1791</f>
        <v>0.42434394193188163</v>
      </c>
      <c r="F9" s="111">
        <f t="shared" si="0"/>
        <v>1909.9720826353991</v>
      </c>
      <c r="H9" s="58"/>
      <c r="I9" s="110">
        <v>272</v>
      </c>
      <c r="J9" s="115">
        <v>1</v>
      </c>
      <c r="K9" s="115">
        <f>34/64</f>
        <v>0.53125</v>
      </c>
      <c r="L9" s="111">
        <f t="shared" si="1"/>
        <v>144.5</v>
      </c>
    </row>
    <row r="10" spans="2:15">
      <c r="B10" s="58"/>
      <c r="C10" s="110">
        <v>634</v>
      </c>
      <c r="D10" s="115">
        <v>1</v>
      </c>
      <c r="E10" s="115">
        <f>115/149</f>
        <v>0.77181208053691275</v>
      </c>
      <c r="F10" s="111">
        <f t="shared" si="0"/>
        <v>489.32885906040269</v>
      </c>
      <c r="H10" s="58"/>
      <c r="I10" s="110">
        <v>509</v>
      </c>
      <c r="J10" s="115">
        <v>1</v>
      </c>
      <c r="K10" s="115">
        <f>88/88</f>
        <v>1</v>
      </c>
      <c r="L10" s="111">
        <f t="shared" si="1"/>
        <v>509</v>
      </c>
    </row>
    <row r="11" spans="2:15">
      <c r="B11" s="58"/>
      <c r="C11" s="110">
        <v>542</v>
      </c>
      <c r="D11" s="115">
        <v>1</v>
      </c>
      <c r="E11" s="115">
        <f>62/92</f>
        <v>0.67391304347826086</v>
      </c>
      <c r="F11" s="111">
        <f t="shared" si="0"/>
        <v>365.26086956521738</v>
      </c>
      <c r="H11" s="58"/>
      <c r="I11" s="110">
        <v>403</v>
      </c>
      <c r="J11" s="115">
        <v>1</v>
      </c>
      <c r="K11" s="115">
        <f>50/50</f>
        <v>1</v>
      </c>
      <c r="L11" s="111">
        <f t="shared" si="1"/>
        <v>403</v>
      </c>
    </row>
    <row r="12" spans="2:15">
      <c r="B12" s="58"/>
      <c r="C12" s="110">
        <v>3155</v>
      </c>
      <c r="D12" s="115">
        <v>1</v>
      </c>
      <c r="E12" s="115">
        <f>206/347</f>
        <v>0.59365994236311237</v>
      </c>
      <c r="F12" s="111">
        <f t="shared" si="0"/>
        <v>1872.9971181556195</v>
      </c>
      <c r="H12" s="58"/>
      <c r="I12" s="110">
        <v>1849</v>
      </c>
      <c r="J12" s="115">
        <v>1</v>
      </c>
      <c r="K12" s="115">
        <f>129/131</f>
        <v>0.98473282442748089</v>
      </c>
      <c r="L12" s="111">
        <f t="shared" si="1"/>
        <v>1820.7709923664122</v>
      </c>
    </row>
    <row r="13" spans="2:15">
      <c r="B13" s="58"/>
      <c r="C13" s="110">
        <v>439</v>
      </c>
      <c r="D13" s="115">
        <v>1</v>
      </c>
      <c r="E13" s="115">
        <f>34/34</f>
        <v>1</v>
      </c>
      <c r="F13" s="111">
        <f t="shared" si="0"/>
        <v>439</v>
      </c>
      <c r="H13" s="58"/>
      <c r="I13" s="110">
        <v>64</v>
      </c>
      <c r="J13" s="115">
        <v>1</v>
      </c>
      <c r="K13" s="115">
        <f>4/4</f>
        <v>1</v>
      </c>
      <c r="L13" s="111">
        <f t="shared" si="1"/>
        <v>64</v>
      </c>
    </row>
    <row r="14" spans="2:15">
      <c r="B14" s="58"/>
      <c r="C14" s="110">
        <v>1127</v>
      </c>
      <c r="D14" s="115">
        <v>1</v>
      </c>
      <c r="E14" s="115">
        <f>64/64</f>
        <v>1</v>
      </c>
      <c r="F14" s="111">
        <f t="shared" si="0"/>
        <v>1127</v>
      </c>
      <c r="H14" s="58" t="s">
        <v>123</v>
      </c>
      <c r="I14" s="110">
        <v>503</v>
      </c>
      <c r="J14" s="115">
        <v>1</v>
      </c>
      <c r="K14" s="115">
        <f>12/13</f>
        <v>0.92307692307692313</v>
      </c>
      <c r="L14" s="111">
        <f t="shared" si="1"/>
        <v>464.30769230769232</v>
      </c>
    </row>
    <row r="15" spans="2:15">
      <c r="B15" s="58" t="s">
        <v>123</v>
      </c>
      <c r="C15" s="110">
        <v>367</v>
      </c>
      <c r="D15" s="115">
        <v>0.6</v>
      </c>
      <c r="E15" s="115">
        <f>0</f>
        <v>0</v>
      </c>
      <c r="F15" s="111">
        <f t="shared" si="0"/>
        <v>0</v>
      </c>
      <c r="H15" s="58" t="s">
        <v>124</v>
      </c>
      <c r="I15" s="110">
        <v>1843</v>
      </c>
      <c r="J15" s="115">
        <v>0.75</v>
      </c>
      <c r="K15" s="115">
        <f>49/49</f>
        <v>1</v>
      </c>
      <c r="L15" s="111">
        <f t="shared" si="1"/>
        <v>1382.25</v>
      </c>
    </row>
    <row r="16" spans="2:15">
      <c r="B16" s="59" t="s">
        <v>117</v>
      </c>
      <c r="C16" s="112">
        <v>43</v>
      </c>
      <c r="D16" s="116">
        <v>0.6</v>
      </c>
      <c r="E16" s="116">
        <f>1</f>
        <v>1</v>
      </c>
      <c r="F16" s="113">
        <f t="shared" si="0"/>
        <v>25.8</v>
      </c>
      <c r="H16" s="58" t="s">
        <v>125</v>
      </c>
      <c r="I16" s="110">
        <v>3320</v>
      </c>
      <c r="J16" s="115">
        <v>0.1</v>
      </c>
      <c r="K16" s="115">
        <f>31/39</f>
        <v>0.79487179487179482</v>
      </c>
      <c r="L16" s="111">
        <f t="shared" si="1"/>
        <v>263.89743589743586</v>
      </c>
    </row>
    <row r="17" spans="2:15">
      <c r="B17" s="26"/>
      <c r="C17" s="26"/>
      <c r="E17" s="26"/>
      <c r="F17" s="26"/>
      <c r="H17" s="58" t="s">
        <v>126</v>
      </c>
      <c r="I17" s="110">
        <v>9061</v>
      </c>
      <c r="J17" s="115">
        <v>0.05</v>
      </c>
      <c r="K17" s="115">
        <f>29/65</f>
        <v>0.44615384615384618</v>
      </c>
      <c r="L17" s="111">
        <f t="shared" si="1"/>
        <v>202.13000000000002</v>
      </c>
    </row>
    <row r="18" spans="2:15">
      <c r="B18" s="26"/>
      <c r="C18" s="26"/>
      <c r="E18" s="26"/>
      <c r="F18" s="26"/>
      <c r="H18" s="59" t="s">
        <v>127</v>
      </c>
      <c r="I18" s="112">
        <v>14916</v>
      </c>
      <c r="J18" s="116">
        <v>0.05</v>
      </c>
      <c r="K18" s="116">
        <f>62/64</f>
        <v>0.96875</v>
      </c>
      <c r="L18" s="113">
        <f t="shared" si="1"/>
        <v>722.49374999999998</v>
      </c>
    </row>
    <row r="19" spans="2:15">
      <c r="B19" s="26"/>
      <c r="C19" s="26"/>
      <c r="E19" s="26"/>
      <c r="F19" s="26"/>
      <c r="J19" s="26"/>
    </row>
    <row r="20" spans="2:15">
      <c r="B20" s="41"/>
      <c r="C20" s="26"/>
      <c r="E20" s="60" t="s">
        <v>129</v>
      </c>
      <c r="F20" s="61">
        <f>SUM(F7:F16)</f>
        <v>18423.262243942081</v>
      </c>
      <c r="K20" s="60" t="s">
        <v>129</v>
      </c>
      <c r="L20" s="61">
        <f>SUM(L7:L18)</f>
        <v>6028.5998705715401</v>
      </c>
    </row>
    <row r="21" spans="2:15" s="26" customFormat="1" ht="14" thickBot="1">
      <c r="B21" s="41"/>
      <c r="E21" s="52"/>
      <c r="F21" s="53"/>
      <c r="K21" s="52"/>
      <c r="L21" s="53"/>
    </row>
    <row r="22" spans="2:15" ht="14" thickBot="1">
      <c r="B22" s="107" t="s">
        <v>131</v>
      </c>
      <c r="C22" s="108">
        <f>F20+L20+N6</f>
        <v>37246.557766687532</v>
      </c>
      <c r="D22" s="109" t="s">
        <v>132</v>
      </c>
    </row>
    <row r="27" spans="2:15">
      <c r="B27" s="41" t="s">
        <v>133</v>
      </c>
      <c r="C27" s="26"/>
      <c r="E27" s="26"/>
      <c r="F27" s="26"/>
      <c r="H27" s="41" t="s">
        <v>134</v>
      </c>
      <c r="I27" s="26"/>
      <c r="J27" s="26"/>
      <c r="K27" s="26"/>
      <c r="L27" s="26"/>
      <c r="N27" s="41" t="s">
        <v>159</v>
      </c>
    </row>
    <row r="28" spans="2:15">
      <c r="B28" s="26"/>
      <c r="C28" s="26"/>
      <c r="E28" s="26"/>
      <c r="F28" s="26"/>
      <c r="H28" s="26"/>
      <c r="I28" s="26"/>
      <c r="J28" s="26"/>
      <c r="K28" s="26"/>
      <c r="L28" s="26"/>
    </row>
    <row r="29" spans="2:15">
      <c r="B29" s="54" t="s">
        <v>118</v>
      </c>
      <c r="C29" s="55" t="s">
        <v>121</v>
      </c>
      <c r="D29" s="55" t="s">
        <v>122</v>
      </c>
      <c r="E29" s="55" t="s">
        <v>120</v>
      </c>
      <c r="F29" s="56" t="s">
        <v>119</v>
      </c>
      <c r="H29" s="54" t="s">
        <v>118</v>
      </c>
      <c r="I29" s="55" t="s">
        <v>121</v>
      </c>
      <c r="J29" s="55" t="s">
        <v>122</v>
      </c>
      <c r="K29" s="55" t="s">
        <v>120</v>
      </c>
      <c r="L29" s="56" t="s">
        <v>119</v>
      </c>
      <c r="N29" s="105">
        <f>6773</f>
        <v>6773</v>
      </c>
      <c r="O29" s="106" t="s">
        <v>132</v>
      </c>
    </row>
    <row r="30" spans="2:15">
      <c r="B30" s="57"/>
      <c r="C30" s="110">
        <v>13100</v>
      </c>
      <c r="D30" s="115">
        <v>1</v>
      </c>
      <c r="E30" s="115">
        <f>7570/13100</f>
        <v>0.5778625954198473</v>
      </c>
      <c r="F30" s="111">
        <f>E30*D30*C30</f>
        <v>7570</v>
      </c>
      <c r="H30" s="57"/>
      <c r="I30" s="110">
        <v>161</v>
      </c>
      <c r="J30" s="115">
        <v>1</v>
      </c>
      <c r="K30" s="115">
        <f>24/118</f>
        <v>0.20338983050847459</v>
      </c>
      <c r="L30" s="111">
        <f>K30*J30*I30</f>
        <v>32.745762711864408</v>
      </c>
    </row>
    <row r="31" spans="2:15">
      <c r="B31" s="57"/>
      <c r="C31" s="110">
        <v>21231</v>
      </c>
      <c r="D31" s="115">
        <v>1</v>
      </c>
      <c r="E31" s="115">
        <f>6237/15052</f>
        <v>0.41436353972893969</v>
      </c>
      <c r="F31" s="111">
        <f t="shared" ref="F31:F39" si="2">E31*D31*C31</f>
        <v>8797.3523119851179</v>
      </c>
      <c r="H31" s="57"/>
      <c r="I31" s="110">
        <v>152</v>
      </c>
      <c r="J31" s="115">
        <v>1</v>
      </c>
      <c r="K31" s="115">
        <f>12/54</f>
        <v>0.22222222222222221</v>
      </c>
      <c r="L31" s="111">
        <f t="shared" ref="L31:L41" si="3">K31*J31*I31</f>
        <v>33.777777777777779</v>
      </c>
    </row>
    <row r="32" spans="2:15">
      <c r="B32" s="58"/>
      <c r="C32" s="110">
        <v>6329</v>
      </c>
      <c r="D32" s="115">
        <v>1</v>
      </c>
      <c r="E32" s="115">
        <f>882/2556</f>
        <v>0.34507042253521125</v>
      </c>
      <c r="F32" s="111">
        <f t="shared" si="2"/>
        <v>2183.9507042253522</v>
      </c>
      <c r="H32" s="58"/>
      <c r="I32" s="110">
        <v>274</v>
      </c>
      <c r="J32" s="115">
        <v>1</v>
      </c>
      <c r="K32" s="115">
        <f>29/67</f>
        <v>0.43283582089552236</v>
      </c>
      <c r="L32" s="111">
        <f t="shared" si="3"/>
        <v>118.59701492537313</v>
      </c>
    </row>
    <row r="33" spans="2:12">
      <c r="B33" s="58"/>
      <c r="C33" s="110">
        <v>1826</v>
      </c>
      <c r="D33" s="115">
        <v>1</v>
      </c>
      <c r="E33" s="115">
        <f>421/427</f>
        <v>0.98594847775175642</v>
      </c>
      <c r="F33" s="111">
        <f t="shared" si="2"/>
        <v>1800.3419203747073</v>
      </c>
      <c r="H33" s="58"/>
      <c r="I33" s="110">
        <v>278</v>
      </c>
      <c r="J33" s="115">
        <v>1</v>
      </c>
      <c r="K33" s="115">
        <f>44/47</f>
        <v>0.93617021276595747</v>
      </c>
      <c r="L33" s="111">
        <f t="shared" si="3"/>
        <v>260.25531914893617</v>
      </c>
    </row>
    <row r="34" spans="2:12">
      <c r="B34" s="58"/>
      <c r="C34" s="110">
        <v>616</v>
      </c>
      <c r="D34" s="115">
        <v>1</v>
      </c>
      <c r="E34" s="115">
        <f>81/99</f>
        <v>0.81818181818181823</v>
      </c>
      <c r="F34" s="111">
        <f t="shared" si="2"/>
        <v>504.00000000000006</v>
      </c>
      <c r="H34" s="58"/>
      <c r="I34" s="110">
        <v>353</v>
      </c>
      <c r="J34" s="115">
        <v>1</v>
      </c>
      <c r="K34" s="115">
        <f>44/45</f>
        <v>0.97777777777777775</v>
      </c>
      <c r="L34" s="111">
        <f t="shared" si="3"/>
        <v>345.15555555555557</v>
      </c>
    </row>
    <row r="35" spans="2:12">
      <c r="B35" s="58"/>
      <c r="C35" s="110">
        <v>2562</v>
      </c>
      <c r="D35" s="115">
        <v>1</v>
      </c>
      <c r="E35" s="115">
        <f>248/279</f>
        <v>0.88888888888888884</v>
      </c>
      <c r="F35" s="111">
        <f t="shared" si="2"/>
        <v>2277.333333333333</v>
      </c>
      <c r="H35" s="58"/>
      <c r="I35" s="110">
        <v>1176</v>
      </c>
      <c r="J35" s="115">
        <v>1</v>
      </c>
      <c r="K35" s="115">
        <f>1</f>
        <v>1</v>
      </c>
      <c r="L35" s="111">
        <f t="shared" si="3"/>
        <v>1176</v>
      </c>
    </row>
    <row r="36" spans="2:12">
      <c r="B36" s="58"/>
      <c r="C36" s="110">
        <v>168</v>
      </c>
      <c r="D36" s="115">
        <v>1</v>
      </c>
      <c r="E36" s="115">
        <f>13/13</f>
        <v>1</v>
      </c>
      <c r="F36" s="111">
        <f t="shared" si="2"/>
        <v>168</v>
      </c>
      <c r="H36" s="58"/>
      <c r="I36" s="110">
        <v>81</v>
      </c>
      <c r="J36" s="115">
        <v>1</v>
      </c>
      <c r="K36" s="115">
        <f>1</f>
        <v>1</v>
      </c>
      <c r="L36" s="111">
        <f t="shared" si="3"/>
        <v>81</v>
      </c>
    </row>
    <row r="37" spans="2:12">
      <c r="B37" s="58"/>
      <c r="C37" s="110">
        <v>1655</v>
      </c>
      <c r="D37" s="115">
        <v>1</v>
      </c>
      <c r="E37" s="115">
        <f>1</f>
        <v>1</v>
      </c>
      <c r="F37" s="111">
        <f t="shared" si="2"/>
        <v>1655</v>
      </c>
      <c r="H37" s="58" t="s">
        <v>123</v>
      </c>
      <c r="I37" s="110">
        <v>232</v>
      </c>
      <c r="J37" s="115">
        <v>1</v>
      </c>
      <c r="K37" s="115">
        <f>9/9</f>
        <v>1</v>
      </c>
      <c r="L37" s="111">
        <f t="shared" si="3"/>
        <v>232</v>
      </c>
    </row>
    <row r="38" spans="2:12">
      <c r="B38" s="58" t="s">
        <v>123</v>
      </c>
      <c r="C38" s="110">
        <v>92</v>
      </c>
      <c r="D38" s="115">
        <v>0.6</v>
      </c>
      <c r="E38" s="115">
        <v>1</v>
      </c>
      <c r="F38" s="111">
        <f t="shared" si="2"/>
        <v>55.199999999999996</v>
      </c>
      <c r="H38" s="58" t="s">
        <v>124</v>
      </c>
      <c r="I38" s="110">
        <v>3549</v>
      </c>
      <c r="J38" s="115">
        <v>0.75</v>
      </c>
      <c r="K38" s="115">
        <f>77/98</f>
        <v>0.7857142857142857</v>
      </c>
      <c r="L38" s="111">
        <f t="shared" si="3"/>
        <v>2091.375</v>
      </c>
    </row>
    <row r="39" spans="2:12">
      <c r="B39" s="59" t="s">
        <v>117</v>
      </c>
      <c r="C39" s="112">
        <v>81</v>
      </c>
      <c r="D39" s="116">
        <v>0.6</v>
      </c>
      <c r="E39" s="116">
        <f>1</f>
        <v>1</v>
      </c>
      <c r="F39" s="113">
        <f t="shared" si="2"/>
        <v>48.6</v>
      </c>
      <c r="H39" s="58" t="s">
        <v>125</v>
      </c>
      <c r="I39" s="110">
        <v>5484</v>
      </c>
      <c r="J39" s="115">
        <v>0.1</v>
      </c>
      <c r="K39" s="115">
        <f>51/67</f>
        <v>0.76119402985074625</v>
      </c>
      <c r="L39" s="111">
        <f t="shared" si="3"/>
        <v>417.4388059701493</v>
      </c>
    </row>
    <row r="40" spans="2:12">
      <c r="B40" s="26"/>
      <c r="C40" s="26"/>
      <c r="E40" s="26"/>
      <c r="F40" s="26"/>
      <c r="H40" s="58" t="s">
        <v>126</v>
      </c>
      <c r="I40" s="110">
        <v>5617</v>
      </c>
      <c r="J40" s="115">
        <v>0.05</v>
      </c>
      <c r="K40" s="115">
        <f>26/37</f>
        <v>0.70270270270270274</v>
      </c>
      <c r="L40" s="111">
        <f t="shared" si="3"/>
        <v>197.35405405405407</v>
      </c>
    </row>
    <row r="41" spans="2:12">
      <c r="B41" s="26"/>
      <c r="C41" s="26"/>
      <c r="E41" s="26"/>
      <c r="F41" s="26"/>
      <c r="H41" s="59" t="s">
        <v>127</v>
      </c>
      <c r="I41" s="112">
        <v>11474</v>
      </c>
      <c r="J41" s="116">
        <v>0.05</v>
      </c>
      <c r="K41" s="116">
        <f>1</f>
        <v>1</v>
      </c>
      <c r="L41" s="113">
        <f t="shared" si="3"/>
        <v>573.70000000000005</v>
      </c>
    </row>
    <row r="42" spans="2:12">
      <c r="B42" s="26"/>
      <c r="C42" s="26"/>
      <c r="E42" s="26"/>
      <c r="F42" s="26"/>
      <c r="H42" s="26"/>
      <c r="I42" s="26"/>
      <c r="J42" s="26"/>
      <c r="K42" s="26"/>
      <c r="L42" s="26"/>
    </row>
    <row r="43" spans="2:12">
      <c r="B43" s="41"/>
      <c r="C43" s="26"/>
      <c r="E43" s="60" t="s">
        <v>129</v>
      </c>
      <c r="F43" s="61">
        <f>SUM(F30:F39)</f>
        <v>25059.778269918508</v>
      </c>
      <c r="H43" s="26"/>
      <c r="I43" s="26"/>
      <c r="J43" s="26"/>
      <c r="K43" s="60" t="s">
        <v>129</v>
      </c>
      <c r="L43" s="61">
        <f>SUM(L30:L41)</f>
        <v>5559.3992901437105</v>
      </c>
    </row>
    <row r="44" spans="2:12" ht="14" thickBot="1">
      <c r="B44" s="41"/>
      <c r="C44" s="26"/>
      <c r="E44" s="52"/>
      <c r="F44" s="53"/>
      <c r="H44" s="26"/>
      <c r="I44" s="26"/>
      <c r="J44" s="26"/>
      <c r="K44" s="52"/>
      <c r="L44" s="53"/>
    </row>
    <row r="45" spans="2:12" ht="14" thickBot="1">
      <c r="B45" s="107" t="s">
        <v>135</v>
      </c>
      <c r="C45" s="108">
        <f>F43+L43+N29</f>
        <v>37392.17756006222</v>
      </c>
      <c r="D45" s="109" t="s">
        <v>132</v>
      </c>
      <c r="E45" s="26"/>
      <c r="F45" s="26"/>
      <c r="H45" s="26"/>
      <c r="I45" s="26"/>
      <c r="J45" s="26"/>
      <c r="K45" s="26"/>
      <c r="L45" s="26"/>
    </row>
    <row r="50" spans="2:15">
      <c r="B50" s="41" t="s">
        <v>136</v>
      </c>
      <c r="C50" s="26"/>
      <c r="E50" s="26"/>
      <c r="F50" s="26"/>
      <c r="H50" s="41" t="s">
        <v>137</v>
      </c>
      <c r="I50" s="26"/>
      <c r="J50" s="26"/>
      <c r="K50" s="26"/>
      <c r="L50" s="26"/>
      <c r="N50" s="41" t="s">
        <v>160</v>
      </c>
    </row>
    <row r="51" spans="2:15">
      <c r="B51" s="26"/>
      <c r="C51" s="26"/>
      <c r="E51" s="26"/>
      <c r="F51" s="26"/>
      <c r="H51" s="26"/>
      <c r="I51" s="26"/>
      <c r="J51" s="26"/>
      <c r="K51" s="26"/>
      <c r="L51" s="26"/>
    </row>
    <row r="52" spans="2:15">
      <c r="B52" s="54" t="s">
        <v>118</v>
      </c>
      <c r="C52" s="55" t="s">
        <v>121</v>
      </c>
      <c r="D52" s="55" t="s">
        <v>122</v>
      </c>
      <c r="E52" s="55" t="s">
        <v>120</v>
      </c>
      <c r="F52" s="56" t="s">
        <v>119</v>
      </c>
      <c r="H52" s="54" t="s">
        <v>118</v>
      </c>
      <c r="I52" s="55" t="s">
        <v>121</v>
      </c>
      <c r="J52" s="55" t="s">
        <v>122</v>
      </c>
      <c r="K52" s="55" t="s">
        <v>120</v>
      </c>
      <c r="L52" s="56" t="s">
        <v>119</v>
      </c>
      <c r="N52" s="105">
        <v>11895</v>
      </c>
      <c r="O52" s="106" t="s">
        <v>132</v>
      </c>
    </row>
    <row r="53" spans="2:15">
      <c r="B53" s="57"/>
      <c r="C53" s="110">
        <v>13280</v>
      </c>
      <c r="D53" s="115">
        <v>1</v>
      </c>
      <c r="E53" s="115">
        <f>7991/17636</f>
        <v>0.45310728056248584</v>
      </c>
      <c r="F53" s="111">
        <f>E53*D53*C53</f>
        <v>6017.2646858698117</v>
      </c>
      <c r="H53" s="57"/>
      <c r="I53" s="110">
        <v>179</v>
      </c>
      <c r="J53" s="115">
        <v>1</v>
      </c>
      <c r="K53" s="115">
        <f>34/130</f>
        <v>0.26153846153846155</v>
      </c>
      <c r="L53" s="111">
        <f>K53*J53*I53</f>
        <v>46.815384615384616</v>
      </c>
    </row>
    <row r="54" spans="2:15">
      <c r="B54" s="57"/>
      <c r="C54" s="110">
        <v>16097</v>
      </c>
      <c r="D54" s="115">
        <v>1</v>
      </c>
      <c r="E54" s="115">
        <f>6307/11125</f>
        <v>0.56692134831460672</v>
      </c>
      <c r="F54" s="111">
        <f t="shared" ref="F54:F62" si="4">E54*D54*C54</f>
        <v>9125.732943820225</v>
      </c>
      <c r="H54" s="57"/>
      <c r="I54" s="110">
        <v>91</v>
      </c>
      <c r="J54" s="115">
        <v>1</v>
      </c>
      <c r="K54" s="115">
        <f>6/31</f>
        <v>0.19354838709677419</v>
      </c>
      <c r="L54" s="111">
        <f t="shared" ref="L54:L64" si="5">K54*J54*I54</f>
        <v>17.612903225806452</v>
      </c>
    </row>
    <row r="55" spans="2:15">
      <c r="B55" s="58"/>
      <c r="C55" s="110">
        <v>6035</v>
      </c>
      <c r="D55" s="115">
        <v>1</v>
      </c>
      <c r="E55" s="115">
        <f>1187/2428</f>
        <v>0.48887973640856675</v>
      </c>
      <c r="F55" s="111">
        <f t="shared" si="4"/>
        <v>2950.3892092257001</v>
      </c>
      <c r="H55" s="58"/>
      <c r="I55" s="110">
        <v>283</v>
      </c>
      <c r="J55" s="115">
        <v>1</v>
      </c>
      <c r="K55" s="115">
        <f>31/68</f>
        <v>0.45588235294117646</v>
      </c>
      <c r="L55" s="111">
        <f t="shared" si="5"/>
        <v>129.01470588235293</v>
      </c>
    </row>
    <row r="56" spans="2:15">
      <c r="B56" s="58"/>
      <c r="C56" s="114">
        <v>546</v>
      </c>
      <c r="D56" s="115">
        <v>1</v>
      </c>
      <c r="E56" s="115">
        <f>96/129</f>
        <v>0.7441860465116279</v>
      </c>
      <c r="F56" s="111">
        <f t="shared" si="4"/>
        <v>406.32558139534882</v>
      </c>
      <c r="H56" s="58"/>
      <c r="I56" s="114">
        <v>410</v>
      </c>
      <c r="J56" s="115">
        <v>1</v>
      </c>
      <c r="K56" s="115">
        <f>65/68</f>
        <v>0.95588235294117652</v>
      </c>
      <c r="L56" s="111">
        <f t="shared" si="5"/>
        <v>391.91176470588238</v>
      </c>
    </row>
    <row r="57" spans="2:15">
      <c r="B57" s="58"/>
      <c r="C57" s="114">
        <v>473</v>
      </c>
      <c r="D57" s="115">
        <v>1</v>
      </c>
      <c r="E57" s="115">
        <f>45/83</f>
        <v>0.54216867469879515</v>
      </c>
      <c r="F57" s="111">
        <f t="shared" si="4"/>
        <v>256.4457831325301</v>
      </c>
      <c r="H57" s="58"/>
      <c r="I57" s="114">
        <v>107</v>
      </c>
      <c r="J57" s="115">
        <v>1</v>
      </c>
      <c r="K57" s="115">
        <f>1</f>
        <v>1</v>
      </c>
      <c r="L57" s="111">
        <f t="shared" si="5"/>
        <v>107</v>
      </c>
    </row>
    <row r="58" spans="2:15">
      <c r="B58" s="58"/>
      <c r="C58" s="114">
        <v>1627</v>
      </c>
      <c r="D58" s="115">
        <v>1</v>
      </c>
      <c r="E58" s="115">
        <f>131/178</f>
        <v>0.7359550561797753</v>
      </c>
      <c r="F58" s="111">
        <f t="shared" si="4"/>
        <v>1197.3988764044943</v>
      </c>
      <c r="H58" s="58"/>
      <c r="I58" s="114">
        <v>829</v>
      </c>
      <c r="J58" s="115">
        <v>1</v>
      </c>
      <c r="K58" s="115">
        <f>1</f>
        <v>1</v>
      </c>
      <c r="L58" s="111">
        <f t="shared" si="5"/>
        <v>829</v>
      </c>
    </row>
    <row r="59" spans="2:15">
      <c r="B59" s="58"/>
      <c r="C59" s="114">
        <v>35</v>
      </c>
      <c r="D59" s="115">
        <v>1</v>
      </c>
      <c r="E59" s="115">
        <f>3/3</f>
        <v>1</v>
      </c>
      <c r="F59" s="111">
        <f t="shared" si="4"/>
        <v>35</v>
      </c>
      <c r="H59" s="58"/>
      <c r="I59" s="114">
        <v>32</v>
      </c>
      <c r="J59" s="115">
        <v>1</v>
      </c>
      <c r="K59" s="115">
        <f>1</f>
        <v>1</v>
      </c>
      <c r="L59" s="111">
        <f t="shared" si="5"/>
        <v>32</v>
      </c>
    </row>
    <row r="60" spans="2:15">
      <c r="B60" s="58"/>
      <c r="C60" s="114">
        <v>2009</v>
      </c>
      <c r="D60" s="115">
        <v>1</v>
      </c>
      <c r="E60" s="115">
        <f>113/113</f>
        <v>1</v>
      </c>
      <c r="F60" s="111">
        <f t="shared" si="4"/>
        <v>2009</v>
      </c>
      <c r="H60" s="58" t="s">
        <v>123</v>
      </c>
      <c r="I60" s="114">
        <v>71</v>
      </c>
      <c r="J60" s="115">
        <v>1</v>
      </c>
      <c r="K60" s="115">
        <f>1</f>
        <v>1</v>
      </c>
      <c r="L60" s="111">
        <f t="shared" si="5"/>
        <v>71</v>
      </c>
    </row>
    <row r="61" spans="2:15">
      <c r="B61" s="58" t="s">
        <v>123</v>
      </c>
      <c r="C61" s="114">
        <v>0</v>
      </c>
      <c r="D61" s="115">
        <v>0.6</v>
      </c>
      <c r="E61" s="115">
        <f>0</f>
        <v>0</v>
      </c>
      <c r="F61" s="111">
        <f t="shared" si="4"/>
        <v>0</v>
      </c>
      <c r="H61" s="58" t="s">
        <v>124</v>
      </c>
      <c r="I61" s="114">
        <v>1632</v>
      </c>
      <c r="J61" s="115">
        <v>0.75</v>
      </c>
      <c r="K61" s="117">
        <f>47/49</f>
        <v>0.95918367346938771</v>
      </c>
      <c r="L61" s="111">
        <f t="shared" si="5"/>
        <v>1174.0408163265306</v>
      </c>
    </row>
    <row r="62" spans="2:15">
      <c r="B62" s="59" t="s">
        <v>117</v>
      </c>
      <c r="C62" s="112">
        <v>0</v>
      </c>
      <c r="D62" s="116">
        <v>0.6</v>
      </c>
      <c r="E62" s="116">
        <f>1</f>
        <v>1</v>
      </c>
      <c r="F62" s="113">
        <f t="shared" si="4"/>
        <v>0</v>
      </c>
      <c r="H62" s="58" t="s">
        <v>125</v>
      </c>
      <c r="I62" s="114">
        <v>611</v>
      </c>
      <c r="J62" s="115">
        <v>0.1</v>
      </c>
      <c r="K62" s="117">
        <f>8/9</f>
        <v>0.88888888888888884</v>
      </c>
      <c r="L62" s="111">
        <f t="shared" si="5"/>
        <v>54.31111111111111</v>
      </c>
    </row>
    <row r="63" spans="2:15">
      <c r="B63" s="26"/>
      <c r="C63" s="26"/>
      <c r="E63" s="26"/>
      <c r="F63" s="26"/>
      <c r="H63" s="58" t="s">
        <v>126</v>
      </c>
      <c r="I63" s="114">
        <v>810</v>
      </c>
      <c r="J63" s="115">
        <v>0.05</v>
      </c>
      <c r="K63" s="115">
        <f>1</f>
        <v>1</v>
      </c>
      <c r="L63" s="111">
        <f t="shared" si="5"/>
        <v>40.5</v>
      </c>
    </row>
    <row r="64" spans="2:15">
      <c r="B64" s="26"/>
      <c r="C64" s="26"/>
      <c r="E64" s="26"/>
      <c r="F64" s="26"/>
      <c r="H64" s="59" t="s">
        <v>127</v>
      </c>
      <c r="I64" s="112">
        <v>2130</v>
      </c>
      <c r="J64" s="116">
        <v>0.05</v>
      </c>
      <c r="K64" s="116">
        <f>1</f>
        <v>1</v>
      </c>
      <c r="L64" s="113">
        <f t="shared" si="5"/>
        <v>106.5</v>
      </c>
    </row>
    <row r="65" spans="2:15">
      <c r="B65" s="26"/>
      <c r="C65" s="26"/>
      <c r="E65" s="26"/>
      <c r="F65" s="26"/>
      <c r="H65" s="26"/>
      <c r="I65" s="26"/>
      <c r="J65" s="26"/>
      <c r="K65" s="26"/>
      <c r="L65" s="26"/>
    </row>
    <row r="66" spans="2:15">
      <c r="B66" s="41"/>
      <c r="C66" s="26"/>
      <c r="E66" s="60" t="s">
        <v>129</v>
      </c>
      <c r="F66" s="61">
        <f>SUM(F53:F62)</f>
        <v>21997.557079848109</v>
      </c>
      <c r="H66" s="26"/>
      <c r="I66" s="26"/>
      <c r="J66" s="26"/>
      <c r="K66" s="60" t="s">
        <v>129</v>
      </c>
      <c r="L66" s="61">
        <f>SUM(L53:L64)</f>
        <v>2999.7066858670682</v>
      </c>
    </row>
    <row r="67" spans="2:15" ht="14" thickBot="1">
      <c r="B67" s="41"/>
      <c r="C67" s="26"/>
      <c r="E67" s="52"/>
      <c r="F67" s="53"/>
      <c r="H67" s="26"/>
      <c r="I67" s="26"/>
      <c r="J67" s="26"/>
      <c r="K67" s="52"/>
      <c r="L67" s="53"/>
    </row>
    <row r="68" spans="2:15" ht="14" thickBot="1">
      <c r="B68" s="107" t="s">
        <v>138</v>
      </c>
      <c r="C68" s="108">
        <f>F66+L66+N52</f>
        <v>36892.263765715179</v>
      </c>
      <c r="D68" s="109" t="s">
        <v>132</v>
      </c>
      <c r="E68" s="26"/>
      <c r="F68" s="26"/>
      <c r="H68" s="26"/>
      <c r="I68" s="26"/>
      <c r="J68" s="26"/>
      <c r="K68" s="26"/>
      <c r="L68" s="26"/>
    </row>
    <row r="73" spans="2:15">
      <c r="B73" s="41" t="s">
        <v>157</v>
      </c>
      <c r="C73" s="26"/>
      <c r="E73" s="26"/>
      <c r="F73" s="26"/>
      <c r="H73" s="41" t="s">
        <v>156</v>
      </c>
      <c r="I73" s="26"/>
      <c r="J73" s="26"/>
      <c r="K73" s="26"/>
      <c r="L73" s="26"/>
      <c r="M73" s="26"/>
      <c r="N73" s="41" t="s">
        <v>161</v>
      </c>
      <c r="O73" s="26"/>
    </row>
    <row r="74" spans="2:15">
      <c r="B74" s="26"/>
      <c r="C74" s="26"/>
      <c r="E74" s="26"/>
      <c r="F74" s="26"/>
      <c r="H74" s="26"/>
      <c r="I74" s="26"/>
      <c r="J74" s="26"/>
      <c r="K74" s="26"/>
      <c r="L74" s="26"/>
      <c r="M74" s="26"/>
      <c r="N74" s="26"/>
      <c r="O74" s="26"/>
    </row>
    <row r="75" spans="2:15">
      <c r="B75" s="54" t="s">
        <v>118</v>
      </c>
      <c r="C75" s="55" t="s">
        <v>121</v>
      </c>
      <c r="D75" s="55" t="s">
        <v>122</v>
      </c>
      <c r="E75" s="55" t="s">
        <v>120</v>
      </c>
      <c r="F75" s="56" t="s">
        <v>119</v>
      </c>
      <c r="H75" s="54" t="s">
        <v>118</v>
      </c>
      <c r="I75" s="55" t="s">
        <v>121</v>
      </c>
      <c r="J75" s="55" t="s">
        <v>122</v>
      </c>
      <c r="K75" s="55" t="s">
        <v>120</v>
      </c>
      <c r="L75" s="56" t="s">
        <v>119</v>
      </c>
      <c r="M75" s="26"/>
      <c r="N75" s="105">
        <f>16707</f>
        <v>16707</v>
      </c>
      <c r="O75" s="106" t="s">
        <v>132</v>
      </c>
    </row>
    <row r="76" spans="2:15">
      <c r="B76" s="57"/>
      <c r="C76" s="110">
        <v>13335</v>
      </c>
      <c r="D76" s="115">
        <v>1</v>
      </c>
      <c r="E76" s="115">
        <f>8297/18090</f>
        <v>0.45865118850193476</v>
      </c>
      <c r="F76" s="111">
        <f>E76*D76*C76</f>
        <v>6116.1135986732997</v>
      </c>
      <c r="H76" s="57"/>
      <c r="I76" s="110">
        <v>158</v>
      </c>
      <c r="J76" s="115">
        <v>1</v>
      </c>
      <c r="K76" s="115">
        <f>21/181</f>
        <v>0.11602209944751381</v>
      </c>
      <c r="L76" s="111">
        <f>K76*J76*I76</f>
        <v>18.33149171270718</v>
      </c>
      <c r="M76" s="26"/>
      <c r="N76" s="26"/>
      <c r="O76" s="26"/>
    </row>
    <row r="77" spans="2:15">
      <c r="B77" s="57"/>
      <c r="C77" s="110">
        <v>15407</v>
      </c>
      <c r="D77" s="115">
        <v>1</v>
      </c>
      <c r="E77" s="115">
        <f>4820/10635</f>
        <v>0.45322049835448991</v>
      </c>
      <c r="F77" s="111">
        <f t="shared" ref="F77:F85" si="6">E77*D77*C77</f>
        <v>6982.7682181476257</v>
      </c>
      <c r="H77" s="57"/>
      <c r="I77" s="110">
        <v>109</v>
      </c>
      <c r="J77" s="115">
        <v>1</v>
      </c>
      <c r="K77" s="115">
        <f>5/40</f>
        <v>0.125</v>
      </c>
      <c r="L77" s="111">
        <f t="shared" ref="L77:L87" si="7">K77*J77*I77</f>
        <v>13.625</v>
      </c>
      <c r="M77" s="26"/>
      <c r="N77" s="26"/>
      <c r="O77" s="26"/>
    </row>
    <row r="78" spans="2:15">
      <c r="B78" s="58"/>
      <c r="C78" s="110">
        <v>6260</v>
      </c>
      <c r="D78" s="115">
        <v>1</v>
      </c>
      <c r="E78" s="115">
        <f>860/2485</f>
        <v>0.34607645875251508</v>
      </c>
      <c r="F78" s="111">
        <f t="shared" si="6"/>
        <v>2166.4386317907442</v>
      </c>
      <c r="H78" s="58"/>
      <c r="I78" s="110">
        <v>166</v>
      </c>
      <c r="J78" s="115">
        <v>1</v>
      </c>
      <c r="K78" s="115">
        <f>15/41</f>
        <v>0.36585365853658536</v>
      </c>
      <c r="L78" s="111">
        <f t="shared" si="7"/>
        <v>60.731707317073166</v>
      </c>
      <c r="M78" s="26"/>
      <c r="N78" s="26"/>
      <c r="O78" s="26"/>
    </row>
    <row r="79" spans="2:15">
      <c r="B79" s="58"/>
      <c r="C79" s="114">
        <v>834</v>
      </c>
      <c r="D79" s="115">
        <v>1</v>
      </c>
      <c r="E79" s="115">
        <f>183/196</f>
        <v>0.93367346938775508</v>
      </c>
      <c r="F79" s="111">
        <f t="shared" si="6"/>
        <v>778.68367346938771</v>
      </c>
      <c r="H79" s="58"/>
      <c r="I79" s="114">
        <v>295</v>
      </c>
      <c r="J79" s="115">
        <v>1</v>
      </c>
      <c r="K79" s="115">
        <f>42/50</f>
        <v>0.84</v>
      </c>
      <c r="L79" s="111">
        <f t="shared" si="7"/>
        <v>247.79999999999998</v>
      </c>
      <c r="M79" s="26"/>
      <c r="N79" s="26"/>
      <c r="O79" s="26"/>
    </row>
    <row r="80" spans="2:15">
      <c r="B80" s="58"/>
      <c r="C80" s="114">
        <v>1363</v>
      </c>
      <c r="D80" s="115">
        <v>1</v>
      </c>
      <c r="E80" s="133">
        <f>103/142</f>
        <v>0.72535211267605637</v>
      </c>
      <c r="F80" s="111">
        <f t="shared" si="6"/>
        <v>988.65492957746483</v>
      </c>
      <c r="H80" s="58"/>
      <c r="I80" s="114">
        <v>346</v>
      </c>
      <c r="J80" s="115">
        <v>1</v>
      </c>
      <c r="K80" s="115">
        <f>1</f>
        <v>1</v>
      </c>
      <c r="L80" s="111">
        <f t="shared" si="7"/>
        <v>346</v>
      </c>
      <c r="M80" s="26"/>
      <c r="N80" s="26"/>
      <c r="O80" s="26"/>
    </row>
    <row r="81" spans="2:15">
      <c r="B81" s="58"/>
      <c r="C81" s="114">
        <v>1667</v>
      </c>
      <c r="D81" s="115">
        <v>1</v>
      </c>
      <c r="E81" s="115">
        <f>172/179</f>
        <v>0.96089385474860334</v>
      </c>
      <c r="F81" s="111">
        <f t="shared" si="6"/>
        <v>1601.8100558659219</v>
      </c>
      <c r="H81" s="58"/>
      <c r="I81" s="114">
        <v>386</v>
      </c>
      <c r="J81" s="115">
        <v>1</v>
      </c>
      <c r="K81" s="115">
        <f>29/30</f>
        <v>0.96666666666666667</v>
      </c>
      <c r="L81" s="111">
        <f t="shared" si="7"/>
        <v>373.13333333333333</v>
      </c>
      <c r="M81" s="26"/>
      <c r="N81" s="26"/>
      <c r="O81" s="26"/>
    </row>
    <row r="82" spans="2:15">
      <c r="B82" s="58"/>
      <c r="C82" s="114">
        <v>127</v>
      </c>
      <c r="D82" s="115">
        <v>1</v>
      </c>
      <c r="E82" s="115">
        <f>3/3</f>
        <v>1</v>
      </c>
      <c r="F82" s="111">
        <f t="shared" si="6"/>
        <v>127</v>
      </c>
      <c r="H82" s="58"/>
      <c r="I82" s="114">
        <v>689</v>
      </c>
      <c r="J82" s="115">
        <v>1</v>
      </c>
      <c r="K82" s="115">
        <f>43/44</f>
        <v>0.97727272727272729</v>
      </c>
      <c r="L82" s="111">
        <f t="shared" si="7"/>
        <v>673.34090909090912</v>
      </c>
      <c r="M82" s="26"/>
      <c r="N82" s="26"/>
      <c r="O82" s="26"/>
    </row>
    <row r="83" spans="2:15">
      <c r="B83" s="58"/>
      <c r="C83" s="114">
        <v>1330</v>
      </c>
      <c r="D83" s="115">
        <v>1</v>
      </c>
      <c r="E83" s="115">
        <f>113/113</f>
        <v>1</v>
      </c>
      <c r="F83" s="111">
        <f t="shared" si="6"/>
        <v>1330</v>
      </c>
      <c r="H83" s="58" t="s">
        <v>123</v>
      </c>
      <c r="I83" s="114">
        <v>992</v>
      </c>
      <c r="J83" s="115">
        <v>1</v>
      </c>
      <c r="K83" s="115">
        <f>33/40</f>
        <v>0.82499999999999996</v>
      </c>
      <c r="L83" s="111">
        <f t="shared" si="7"/>
        <v>818.4</v>
      </c>
      <c r="M83" s="26"/>
      <c r="N83" s="26"/>
      <c r="O83" s="26"/>
    </row>
    <row r="84" spans="2:15">
      <c r="B84" s="58" t="s">
        <v>123</v>
      </c>
      <c r="C84" s="114">
        <v>63</v>
      </c>
      <c r="D84" s="115">
        <v>0.6</v>
      </c>
      <c r="E84" s="115">
        <f>3/3</f>
        <v>1</v>
      </c>
      <c r="F84" s="111">
        <f t="shared" si="6"/>
        <v>37.799999999999997</v>
      </c>
      <c r="H84" s="58" t="s">
        <v>124</v>
      </c>
      <c r="I84" s="114">
        <v>6901</v>
      </c>
      <c r="J84" s="115">
        <v>0.75</v>
      </c>
      <c r="K84" s="117">
        <f>133/164</f>
        <v>0.81097560975609762</v>
      </c>
      <c r="L84" s="111">
        <f t="shared" si="7"/>
        <v>4197.4070121951227</v>
      </c>
      <c r="M84" s="26"/>
      <c r="N84" s="26"/>
      <c r="O84" s="26"/>
    </row>
    <row r="85" spans="2:15">
      <c r="B85" s="59" t="s">
        <v>117</v>
      </c>
      <c r="C85" s="112">
        <v>0</v>
      </c>
      <c r="D85" s="116">
        <v>0.6</v>
      </c>
      <c r="E85" s="116">
        <f>1</f>
        <v>1</v>
      </c>
      <c r="F85" s="113">
        <f t="shared" si="6"/>
        <v>0</v>
      </c>
      <c r="H85" s="58" t="s">
        <v>125</v>
      </c>
      <c r="I85" s="114">
        <v>1672</v>
      </c>
      <c r="J85" s="115">
        <v>0.1</v>
      </c>
      <c r="K85" s="117">
        <f>0</f>
        <v>0</v>
      </c>
      <c r="L85" s="111">
        <f t="shared" si="7"/>
        <v>0</v>
      </c>
      <c r="M85" s="26"/>
      <c r="N85" s="26"/>
      <c r="O85" s="26"/>
    </row>
    <row r="86" spans="2:15">
      <c r="B86" s="26"/>
      <c r="C86" s="26"/>
      <c r="E86" s="26"/>
      <c r="F86" s="26"/>
      <c r="H86" s="58" t="s">
        <v>126</v>
      </c>
      <c r="I86" s="114">
        <v>5588</v>
      </c>
      <c r="J86" s="115">
        <v>0.05</v>
      </c>
      <c r="K86" s="115">
        <f>12/38</f>
        <v>0.31578947368421051</v>
      </c>
      <c r="L86" s="111">
        <f t="shared" si="7"/>
        <v>88.231578947368419</v>
      </c>
      <c r="M86" s="26"/>
      <c r="N86" s="26"/>
      <c r="O86" s="26"/>
    </row>
    <row r="87" spans="2:15">
      <c r="B87" s="26"/>
      <c r="C87" s="26"/>
      <c r="E87" s="26"/>
      <c r="F87" s="26"/>
      <c r="H87" s="59" t="s">
        <v>127</v>
      </c>
      <c r="I87" s="112">
        <v>21151</v>
      </c>
      <c r="J87" s="116">
        <v>0.05</v>
      </c>
      <c r="K87" s="116">
        <f>1/83</f>
        <v>1.2048192771084338E-2</v>
      </c>
      <c r="L87" s="113">
        <f t="shared" si="7"/>
        <v>12.741566265060243</v>
      </c>
      <c r="M87" s="26"/>
      <c r="N87" s="26"/>
      <c r="O87" s="26"/>
    </row>
    <row r="88" spans="2:15">
      <c r="B88" s="26"/>
      <c r="C88" s="26"/>
      <c r="E88" s="26"/>
      <c r="F88" s="26"/>
      <c r="H88" s="26"/>
      <c r="I88" s="26"/>
      <c r="J88" s="26"/>
      <c r="K88" s="26"/>
      <c r="L88" s="26"/>
      <c r="M88" s="26"/>
      <c r="N88" s="26"/>
      <c r="O88" s="26"/>
    </row>
    <row r="89" spans="2:15">
      <c r="B89" s="41"/>
      <c r="C89" s="26"/>
      <c r="E89" s="60" t="s">
        <v>129</v>
      </c>
      <c r="F89" s="61">
        <f>SUM(F76:F85)</f>
        <v>20129.269107524444</v>
      </c>
      <c r="H89" s="26"/>
      <c r="I89" s="26"/>
      <c r="J89" s="26"/>
      <c r="K89" s="60" t="s">
        <v>129</v>
      </c>
      <c r="L89" s="61">
        <f>SUM(L76:L87)</f>
        <v>6849.7425988615742</v>
      </c>
      <c r="M89" s="26"/>
      <c r="N89" s="26"/>
      <c r="O89" s="26"/>
    </row>
    <row r="90" spans="2:15" ht="14" thickBot="1">
      <c r="B90" s="41"/>
      <c r="C90" s="26"/>
      <c r="E90" s="52"/>
      <c r="F90" s="53"/>
      <c r="H90" s="26"/>
      <c r="I90" s="26"/>
      <c r="J90" s="26"/>
      <c r="K90" s="52"/>
      <c r="L90" s="53"/>
      <c r="M90" s="26"/>
      <c r="N90" s="26"/>
      <c r="O90" s="26"/>
    </row>
    <row r="91" spans="2:15" ht="14" thickBot="1">
      <c r="B91" s="107" t="s">
        <v>138</v>
      </c>
      <c r="C91" s="108">
        <f>F89+L89+N75</f>
        <v>43686.011706386016</v>
      </c>
      <c r="D91" s="109" t="s">
        <v>132</v>
      </c>
      <c r="E91" s="26"/>
      <c r="F91" s="26"/>
      <c r="H91" s="26"/>
      <c r="I91" s="26"/>
      <c r="J91" s="26"/>
      <c r="K91" s="26"/>
      <c r="L91" s="26"/>
      <c r="M91" s="26"/>
      <c r="N91" s="26"/>
      <c r="O91" s="26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 tint="0.39997558519241921"/>
  </sheetPr>
  <dimension ref="B2:T60"/>
  <sheetViews>
    <sheetView showGridLines="0" workbookViewId="0">
      <selection activeCell="G8" sqref="G8"/>
    </sheetView>
  </sheetViews>
  <sheetFormatPr baseColWidth="10" defaultColWidth="20.5703125" defaultRowHeight="13" x14ac:dyDescent="0"/>
  <cols>
    <col min="1" max="1" width="2.140625" style="120" customWidth="1"/>
    <col min="2" max="15" width="11.28515625" style="120" customWidth="1"/>
    <col min="16" max="19" width="10.28515625" style="120" customWidth="1"/>
    <col min="20" max="16384" width="20.5703125" style="120"/>
  </cols>
  <sheetData>
    <row r="2" spans="2:15" s="69" customFormat="1">
      <c r="B2" s="68" t="s">
        <v>187</v>
      </c>
    </row>
    <row r="3" spans="2:15" s="69" customFormat="1">
      <c r="B3" s="69" t="s">
        <v>186</v>
      </c>
    </row>
    <row r="4" spans="2:15">
      <c r="B4" s="69" t="s">
        <v>177</v>
      </c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</row>
    <row r="5" spans="2:15" ht="14" thickBot="1"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477" t="s">
        <v>192</v>
      </c>
      <c r="O5" s="477"/>
    </row>
    <row r="6" spans="2:15">
      <c r="B6" s="380"/>
      <c r="C6" s="167" t="s">
        <v>40</v>
      </c>
      <c r="D6" s="167" t="s">
        <v>79</v>
      </c>
      <c r="E6" s="167" t="s">
        <v>33</v>
      </c>
      <c r="F6" s="167" t="s">
        <v>42</v>
      </c>
      <c r="G6" s="167" t="s">
        <v>82</v>
      </c>
      <c r="H6" s="167" t="s">
        <v>12</v>
      </c>
      <c r="I6" s="167" t="s">
        <v>179</v>
      </c>
      <c r="J6" s="167" t="s">
        <v>51</v>
      </c>
      <c r="K6" s="172" t="s">
        <v>96</v>
      </c>
      <c r="L6" s="381" t="s">
        <v>43</v>
      </c>
      <c r="M6" s="69"/>
      <c r="N6" s="382" t="s">
        <v>43</v>
      </c>
      <c r="O6" s="474" t="s">
        <v>191</v>
      </c>
    </row>
    <row r="7" spans="2:15">
      <c r="B7" s="383"/>
      <c r="C7" s="384"/>
      <c r="D7" s="384"/>
      <c r="E7" s="384"/>
      <c r="F7" s="384"/>
      <c r="G7" s="384"/>
      <c r="H7" s="384"/>
      <c r="I7" s="384"/>
      <c r="J7" s="384"/>
      <c r="K7" s="385"/>
      <c r="L7" s="385" t="s">
        <v>144</v>
      </c>
      <c r="M7" s="69"/>
      <c r="N7" s="386" t="s">
        <v>167</v>
      </c>
      <c r="O7" s="475"/>
    </row>
    <row r="8" spans="2:15" ht="14" thickBot="1">
      <c r="B8" s="164" t="s">
        <v>178</v>
      </c>
      <c r="C8" s="165" t="s">
        <v>140</v>
      </c>
      <c r="D8" s="165" t="s">
        <v>141</v>
      </c>
      <c r="E8" s="165" t="s">
        <v>149</v>
      </c>
      <c r="F8" s="165" t="s">
        <v>149</v>
      </c>
      <c r="G8" s="165" t="s">
        <v>147</v>
      </c>
      <c r="H8" s="165" t="s">
        <v>149</v>
      </c>
      <c r="I8" s="165" t="s">
        <v>116</v>
      </c>
      <c r="J8" s="165" t="s">
        <v>5</v>
      </c>
      <c r="K8" s="387" t="s">
        <v>116</v>
      </c>
      <c r="L8" s="387" t="s">
        <v>116</v>
      </c>
      <c r="M8" s="69"/>
      <c r="N8" s="388" t="s">
        <v>149</v>
      </c>
      <c r="O8" s="476"/>
    </row>
    <row r="9" spans="2:15">
      <c r="B9" s="389">
        <v>1990</v>
      </c>
      <c r="C9" s="147">
        <f>Nuclear!G10/1000</f>
        <v>323.17099999999999</v>
      </c>
      <c r="D9" s="390">
        <f>Wind!D10/1000</f>
        <v>1.7430000000000001</v>
      </c>
      <c r="E9" s="391"/>
      <c r="F9" s="391"/>
      <c r="G9" s="391">
        <f>PV!I10/1000</f>
        <v>0.26800000000000002</v>
      </c>
      <c r="H9" s="392"/>
      <c r="I9" s="392"/>
      <c r="J9" s="393"/>
      <c r="K9" s="152"/>
      <c r="L9" s="152"/>
      <c r="M9" s="394"/>
      <c r="N9" s="152"/>
      <c r="O9" s="151"/>
    </row>
    <row r="10" spans="2:15">
      <c r="B10" s="389">
        <v>1991</v>
      </c>
      <c r="C10" s="147">
        <f>Nuclear!G11/1000</f>
        <v>325.04000000000002</v>
      </c>
      <c r="D10" s="160">
        <f>Wind!D11/1000</f>
        <v>1.9830000000000001</v>
      </c>
      <c r="E10" s="149"/>
      <c r="F10" s="149"/>
      <c r="G10" s="149">
        <f>PV!I11/1000</f>
        <v>0.31806719999999999</v>
      </c>
      <c r="H10" s="150"/>
      <c r="I10" s="150"/>
      <c r="J10" s="151"/>
      <c r="K10" s="152"/>
      <c r="L10" s="152"/>
      <c r="M10" s="394"/>
      <c r="N10" s="152"/>
      <c r="O10" s="151"/>
    </row>
    <row r="11" spans="2:15">
      <c r="B11" s="389">
        <v>1992</v>
      </c>
      <c r="C11" s="147">
        <f>Nuclear!G12/1000</f>
        <v>327.803</v>
      </c>
      <c r="D11" s="160">
        <f>Wind!D12/1000</f>
        <v>2.3210000000000002</v>
      </c>
      <c r="E11" s="149"/>
      <c r="F11" s="149"/>
      <c r="G11" s="149">
        <f>PV!I12/1000</f>
        <v>0.37421739999999998</v>
      </c>
      <c r="H11" s="150"/>
      <c r="I11" s="150"/>
      <c r="J11" s="151"/>
      <c r="K11" s="152"/>
      <c r="L11" s="152"/>
      <c r="M11" s="394"/>
      <c r="N11" s="152"/>
      <c r="O11" s="151"/>
    </row>
    <row r="12" spans="2:15">
      <c r="B12" s="389">
        <v>1993</v>
      </c>
      <c r="C12" s="147">
        <f>Nuclear!G13/1000</f>
        <v>336.815</v>
      </c>
      <c r="D12" s="160">
        <f>Wind!D13/1000</f>
        <v>2.8010000000000002</v>
      </c>
      <c r="E12" s="149"/>
      <c r="F12" s="149"/>
      <c r="G12" s="149">
        <f>PV!I13/1000</f>
        <v>0.43298419999999999</v>
      </c>
      <c r="H12" s="150"/>
      <c r="I12" s="150"/>
      <c r="J12" s="151"/>
      <c r="K12" s="152"/>
      <c r="L12" s="152"/>
      <c r="M12" s="394"/>
      <c r="N12" s="152"/>
      <c r="O12" s="151"/>
    </row>
    <row r="13" spans="2:15">
      <c r="B13" s="389">
        <v>1994</v>
      </c>
      <c r="C13" s="147">
        <f>Nuclear!G14/1000</f>
        <v>339.733</v>
      </c>
      <c r="D13" s="160">
        <f>Wind!D14/1000</f>
        <v>3.5310000000000001</v>
      </c>
      <c r="E13" s="149"/>
      <c r="F13" s="149"/>
      <c r="G13" s="149">
        <f>PV!I14/1000</f>
        <v>0.49643480000000001</v>
      </c>
      <c r="H13" s="150"/>
      <c r="I13" s="150"/>
      <c r="J13" s="151"/>
      <c r="K13" s="152"/>
      <c r="L13" s="152"/>
      <c r="M13" s="394"/>
      <c r="N13" s="152"/>
      <c r="O13" s="151"/>
    </row>
    <row r="14" spans="2:15">
      <c r="B14" s="389">
        <v>1995</v>
      </c>
      <c r="C14" s="147">
        <f>Nuclear!G15/1000</f>
        <v>342.5</v>
      </c>
      <c r="D14" s="160">
        <f>Wind!D15/1000</f>
        <v>4.8209999999999997</v>
      </c>
      <c r="E14" s="149"/>
      <c r="F14" s="149"/>
      <c r="G14" s="149">
        <f>PV!I15/1000</f>
        <v>0.56888539999999999</v>
      </c>
      <c r="H14" s="150"/>
      <c r="I14" s="150"/>
      <c r="J14" s="151"/>
      <c r="K14" s="152"/>
      <c r="L14" s="152"/>
      <c r="M14" s="394"/>
      <c r="N14" s="152"/>
      <c r="O14" s="151"/>
    </row>
    <row r="15" spans="2:15">
      <c r="B15" s="389">
        <v>1996</v>
      </c>
      <c r="C15" s="147">
        <f>Nuclear!G16/1000</f>
        <v>348.6</v>
      </c>
      <c r="D15" s="160">
        <f>Wind!D16/1000</f>
        <v>6.1</v>
      </c>
      <c r="E15" s="149"/>
      <c r="F15" s="149"/>
      <c r="G15" s="149">
        <f>PV!I16/1000</f>
        <v>0.65102516180904524</v>
      </c>
      <c r="H15" s="150"/>
      <c r="I15" s="150"/>
      <c r="J15" s="151"/>
      <c r="K15" s="152"/>
      <c r="L15" s="152"/>
      <c r="M15" s="394"/>
      <c r="N15" s="152"/>
      <c r="O15" s="151"/>
    </row>
    <row r="16" spans="2:15">
      <c r="B16" s="389">
        <v>1997</v>
      </c>
      <c r="C16" s="147">
        <f>Nuclear!G17/1000</f>
        <v>351.27</v>
      </c>
      <c r="D16" s="160">
        <f>Wind!D17/1000</f>
        <v>7.6</v>
      </c>
      <c r="E16" s="149"/>
      <c r="F16" s="149"/>
      <c r="G16" s="149">
        <f>PV!I17/1000</f>
        <v>0.75370832361809037</v>
      </c>
      <c r="H16" s="150"/>
      <c r="I16" s="150"/>
      <c r="J16" s="151"/>
      <c r="K16" s="152"/>
      <c r="L16" s="152"/>
      <c r="M16" s="394"/>
      <c r="N16" s="152"/>
      <c r="O16" s="151"/>
    </row>
    <row r="17" spans="2:20">
      <c r="B17" s="389">
        <v>1998</v>
      </c>
      <c r="C17" s="147">
        <f>Nuclear!G18/1000</f>
        <v>351.18</v>
      </c>
      <c r="D17" s="160">
        <f>Wind!D18/1000</f>
        <v>10.199999999999999</v>
      </c>
      <c r="E17" s="149"/>
      <c r="F17" s="149"/>
      <c r="G17" s="149">
        <f>PV!I18/1000</f>
        <v>0.88989928542713559</v>
      </c>
      <c r="H17" s="150"/>
      <c r="I17" s="150"/>
      <c r="J17" s="151"/>
      <c r="K17" s="152"/>
      <c r="L17" s="152"/>
      <c r="M17" s="394"/>
      <c r="N17" s="152"/>
      <c r="O17" s="151"/>
    </row>
    <row r="18" spans="2:20">
      <c r="B18" s="389">
        <v>1999</v>
      </c>
      <c r="C18" s="147">
        <f>Nuclear!G19/1000</f>
        <v>348.02</v>
      </c>
      <c r="D18" s="160">
        <f>Wind!D19/1000</f>
        <v>13.6</v>
      </c>
      <c r="E18" s="149"/>
      <c r="F18" s="149"/>
      <c r="G18" s="149">
        <f>PV!I19/1000</f>
        <v>1.0611830472361807</v>
      </c>
      <c r="H18" s="150"/>
      <c r="I18" s="150"/>
      <c r="J18" s="151"/>
      <c r="K18" s="152"/>
      <c r="L18" s="152"/>
      <c r="M18" s="394"/>
      <c r="N18" s="152"/>
      <c r="O18" s="151"/>
    </row>
    <row r="19" spans="2:20">
      <c r="B19" s="389">
        <v>2000</v>
      </c>
      <c r="C19" s="147">
        <f>Nuclear!G20/1000</f>
        <v>351.39</v>
      </c>
      <c r="D19" s="160">
        <f>Wind!D20/1000</f>
        <v>17.399999999999999</v>
      </c>
      <c r="E19" s="149">
        <f>Hydro!D10</f>
        <v>131.05099999999999</v>
      </c>
      <c r="F19" s="149">
        <f>Biomass!E10</f>
        <v>39.048000000000002</v>
      </c>
      <c r="G19" s="149">
        <f>PV!I20/1000</f>
        <v>1.288</v>
      </c>
      <c r="H19" s="149">
        <f>Geothermal!E10</f>
        <v>8.0161899999999999</v>
      </c>
      <c r="I19" s="149">
        <f>SUM(D19:H19)</f>
        <v>196.80319</v>
      </c>
      <c r="J19" s="395">
        <f>'Cogeneration (CHP)'!G11</f>
        <v>223.23984557450376</v>
      </c>
      <c r="K19" s="152">
        <f>SUM(D19:H19)+J19</f>
        <v>420.04303557450373</v>
      </c>
      <c r="L19" s="152">
        <f>('Generation (TWh)'!K19/8766*1000)/K19</f>
        <v>0.62246911756652934</v>
      </c>
      <c r="M19" s="394"/>
      <c r="N19" s="152"/>
      <c r="O19" s="151"/>
    </row>
    <row r="20" spans="2:20">
      <c r="B20" s="389">
        <v>2001</v>
      </c>
      <c r="C20" s="147">
        <f>Nuclear!G21/1000</f>
        <v>352.73</v>
      </c>
      <c r="D20" s="160">
        <f>Wind!D21/1000</f>
        <v>23.9</v>
      </c>
      <c r="E20" s="149">
        <f>Hydro!D11</f>
        <v>133.18899999999999</v>
      </c>
      <c r="F20" s="149">
        <f>Biomass!E11</f>
        <v>29.858000000000001</v>
      </c>
      <c r="G20" s="149">
        <f>PV!I21/1000</f>
        <v>1.615</v>
      </c>
      <c r="H20" s="149">
        <f>Geothermal!E11</f>
        <v>8.1664399999999997</v>
      </c>
      <c r="I20" s="149">
        <f t="shared" ref="I20:I30" si="0">SUM(D20:H20)</f>
        <v>196.72844000000001</v>
      </c>
      <c r="J20" s="395">
        <f>'Cogeneration (CHP)'!G12</f>
        <v>236.91731900114058</v>
      </c>
      <c r="K20" s="152">
        <f t="shared" ref="K20:K29" si="1">SUM(D20:H20)+J20</f>
        <v>433.64575900114062</v>
      </c>
      <c r="L20" s="152">
        <f>('Generation (TWh)'!K20/8766*1000)/K20</f>
        <v>0.63029603091250652</v>
      </c>
      <c r="M20" s="394"/>
      <c r="N20" s="152">
        <v>10.8</v>
      </c>
      <c r="O20" s="151"/>
      <c r="S20" s="123"/>
      <c r="T20" s="123"/>
    </row>
    <row r="21" spans="2:20">
      <c r="B21" s="389">
        <v>2002</v>
      </c>
      <c r="C21" s="147">
        <f>Nuclear!G22/1000</f>
        <v>358.56</v>
      </c>
      <c r="D21" s="160">
        <f>Wind!D22/1000</f>
        <v>31.1</v>
      </c>
      <c r="E21" s="149">
        <f>Hydro!D12</f>
        <v>136.572</v>
      </c>
      <c r="F21" s="149">
        <f>Biomass!E12</f>
        <v>41.322000000000003</v>
      </c>
      <c r="G21" s="149">
        <f>PV!I22/1000</f>
        <v>2.069</v>
      </c>
      <c r="H21" s="149">
        <f>Geothermal!E12</f>
        <v>8.4034399999999998</v>
      </c>
      <c r="I21" s="149">
        <f t="shared" si="0"/>
        <v>219.46643999999998</v>
      </c>
      <c r="J21" s="395">
        <f>'Cogeneration (CHP)'!G13</f>
        <v>252.93383031773851</v>
      </c>
      <c r="K21" s="152">
        <f t="shared" si="1"/>
        <v>472.40027031773849</v>
      </c>
      <c r="L21" s="152">
        <f>('Generation (TWh)'!K21/8766*1000)/K21</f>
        <v>0.61336729155918668</v>
      </c>
      <c r="M21" s="394"/>
      <c r="N21" s="152">
        <v>12</v>
      </c>
      <c r="O21" s="151">
        <f t="shared" ref="O21:O32" si="2">N21/(I21-I20)</f>
        <v>0.52775090157445748</v>
      </c>
    </row>
    <row r="22" spans="2:20">
      <c r="B22" s="389">
        <v>2003</v>
      </c>
      <c r="C22" s="147">
        <f>Nuclear!G23/1000</f>
        <v>360.83</v>
      </c>
      <c r="D22" s="160">
        <f>Wind!D23/1000</f>
        <v>39.430999999999997</v>
      </c>
      <c r="E22" s="149">
        <f>Hydro!D13</f>
        <v>140.17500000000001</v>
      </c>
      <c r="F22" s="149">
        <f>Biomass!E13</f>
        <v>42.792000000000002</v>
      </c>
      <c r="G22" s="149">
        <f>PV!I23/1000</f>
        <v>2.6349999999999998</v>
      </c>
      <c r="H22" s="149">
        <f>Geothermal!E13</f>
        <v>8.5509400000000007</v>
      </c>
      <c r="I22" s="149">
        <f t="shared" si="0"/>
        <v>233.58393999999998</v>
      </c>
      <c r="J22" s="395">
        <f>'Cogeneration (CHP)'!G14</f>
        <v>264.40704413433645</v>
      </c>
      <c r="K22" s="152">
        <f t="shared" si="1"/>
        <v>497.99098413433643</v>
      </c>
      <c r="L22" s="152">
        <f>('Generation (TWh)'!K22/8766*1000)/K22</f>
        <v>0.61525728261458756</v>
      </c>
      <c r="M22" s="394"/>
      <c r="N22" s="152">
        <v>13.5</v>
      </c>
      <c r="O22" s="151">
        <f t="shared" si="2"/>
        <v>0.95625996104126043</v>
      </c>
    </row>
    <row r="23" spans="2:20">
      <c r="B23" s="389">
        <v>2004</v>
      </c>
      <c r="C23" s="147">
        <f>Nuclear!G24/1000</f>
        <v>366.06</v>
      </c>
      <c r="D23" s="160">
        <f>Wind!D24/1000</f>
        <v>47.62</v>
      </c>
      <c r="E23" s="149">
        <f>Hydro!D14</f>
        <v>145.273</v>
      </c>
      <c r="F23" s="149">
        <f>Biomass!E14</f>
        <v>44.335000000000001</v>
      </c>
      <c r="G23" s="149">
        <f>PV!I24/1000</f>
        <v>3.7229999999999999</v>
      </c>
      <c r="H23" s="149">
        <f>Geothermal!E14</f>
        <v>8.5868400000000005</v>
      </c>
      <c r="I23" s="149">
        <f t="shared" si="0"/>
        <v>249.53784000000002</v>
      </c>
      <c r="J23" s="395">
        <f>'Cogeneration (CHP)'!G15</f>
        <v>279.59454295093434</v>
      </c>
      <c r="K23" s="152">
        <f t="shared" si="1"/>
        <v>529.13238295093436</v>
      </c>
      <c r="L23" s="152">
        <f>('Generation (TWh)'!K23/8766*1000)/K23</f>
        <v>0.61046428755133852</v>
      </c>
      <c r="M23" s="394"/>
      <c r="N23" s="152">
        <v>16</v>
      </c>
      <c r="O23" s="151">
        <f t="shared" si="2"/>
        <v>1.0028895755896656</v>
      </c>
    </row>
    <row r="24" spans="2:20" ht="12.75" customHeight="1">
      <c r="B24" s="389">
        <v>2005</v>
      </c>
      <c r="C24" s="147">
        <f>Nuclear!G25/1000</f>
        <v>369.06</v>
      </c>
      <c r="D24" s="160">
        <f>Wind!D25/1000</f>
        <v>59.091000000000001</v>
      </c>
      <c r="E24" s="149">
        <f>Hydro!D15</f>
        <v>150.09299999999999</v>
      </c>
      <c r="F24" s="149">
        <f>Biomass!E15</f>
        <v>46.045000000000002</v>
      </c>
      <c r="G24" s="149">
        <f>PV!I25/1000</f>
        <v>5.1120000000000001</v>
      </c>
      <c r="H24" s="149">
        <f>Geothermal!E15</f>
        <v>8.7973400000000002</v>
      </c>
      <c r="I24" s="149">
        <f t="shared" si="0"/>
        <v>269.13834000000003</v>
      </c>
      <c r="J24" s="395">
        <f>'Cogeneration (CHP)'!G16</f>
        <v>296.4234580175322</v>
      </c>
      <c r="K24" s="152">
        <f t="shared" si="1"/>
        <v>565.56179801753228</v>
      </c>
      <c r="L24" s="152">
        <f>('Generation (TWh)'!K24/8766*1000)/K24</f>
        <v>0.60580194084370975</v>
      </c>
      <c r="M24" s="394"/>
      <c r="N24" s="152">
        <v>18.100000000000001</v>
      </c>
      <c r="O24" s="151">
        <f t="shared" si="2"/>
        <v>0.92344583046350814</v>
      </c>
    </row>
    <row r="25" spans="2:20" ht="12.75" customHeight="1">
      <c r="B25" s="389">
        <v>2006</v>
      </c>
      <c r="C25" s="147">
        <f>Nuclear!G26/1000</f>
        <v>371.82</v>
      </c>
      <c r="D25" s="160">
        <f>Wind!D26/1000</f>
        <v>74.006</v>
      </c>
      <c r="E25" s="149">
        <f>Hydro!D16</f>
        <v>155.655</v>
      </c>
      <c r="F25" s="149">
        <f>Biomass!E16</f>
        <v>48.475000000000001</v>
      </c>
      <c r="G25" s="149">
        <f>PV!I26/1000</f>
        <v>6.66</v>
      </c>
      <c r="H25" s="149">
        <f>Geothermal!E16</f>
        <v>9.2344100000000005</v>
      </c>
      <c r="I25" s="149">
        <f t="shared" si="0"/>
        <v>294.03041000000007</v>
      </c>
      <c r="J25" s="395">
        <f>'Cogeneration (CHP)'!G17</f>
        <v>314.32499999999999</v>
      </c>
      <c r="K25" s="152">
        <f t="shared" si="1"/>
        <v>608.35541000000012</v>
      </c>
      <c r="L25" s="152">
        <f>('Generation (TWh)'!K25/8766*1000)/K25</f>
        <v>0.59876311749105571</v>
      </c>
      <c r="M25" s="394"/>
      <c r="N25" s="152">
        <v>24.9</v>
      </c>
      <c r="O25" s="151">
        <f t="shared" si="2"/>
        <v>1.0003185753535142</v>
      </c>
      <c r="P25" s="123"/>
    </row>
    <row r="26" spans="2:20" ht="12.75" customHeight="1">
      <c r="B26" s="389">
        <v>2007</v>
      </c>
      <c r="C26" s="147">
        <f>Nuclear!G27/1000</f>
        <v>371.71</v>
      </c>
      <c r="D26" s="160">
        <f>Wind!D27/1000</f>
        <v>93.638999999999996</v>
      </c>
      <c r="E26" s="149">
        <f>Hydro!D17</f>
        <v>161.12700000000001</v>
      </c>
      <c r="F26" s="149">
        <f>Biomass!E17</f>
        <v>51.076000000000001</v>
      </c>
      <c r="G26" s="149">
        <f>PV!I27/1000</f>
        <v>9.1829999999999998</v>
      </c>
      <c r="H26" s="149">
        <f>Geothermal!E17</f>
        <v>9.6003100000000003</v>
      </c>
      <c r="I26" s="149">
        <f t="shared" si="0"/>
        <v>324.62531000000001</v>
      </c>
      <c r="J26" s="395">
        <f>'Cogeneration (CHP)'!G18</f>
        <v>338.71477024683327</v>
      </c>
      <c r="K26" s="152">
        <f t="shared" si="1"/>
        <v>663.34008024683328</v>
      </c>
      <c r="L26" s="152">
        <f>('Generation (TWh)'!K26/8766*1000)/K26</f>
        <v>0.5873546408945034</v>
      </c>
      <c r="M26" s="394"/>
      <c r="N26" s="152">
        <v>31.2</v>
      </c>
      <c r="O26" s="151">
        <f t="shared" si="2"/>
        <v>1.0197778061049412</v>
      </c>
      <c r="P26" s="123"/>
    </row>
    <row r="27" spans="2:20" ht="12.75" customHeight="1">
      <c r="B27" s="389">
        <v>2008</v>
      </c>
      <c r="C27" s="147">
        <f>Nuclear!G28/1000</f>
        <v>371.96</v>
      </c>
      <c r="D27" s="160">
        <f>Wind!D28/1000</f>
        <v>120.267</v>
      </c>
      <c r="E27" s="149">
        <f>Hydro!D18</f>
        <v>166.61</v>
      </c>
      <c r="F27" s="149">
        <f>Biomass!E18</f>
        <v>53.939</v>
      </c>
      <c r="G27" s="149">
        <f>PV!I28/1000</f>
        <v>15.843999999999999</v>
      </c>
      <c r="H27" s="149">
        <f>Geothermal!E18</f>
        <v>9.9239099999999993</v>
      </c>
      <c r="I27" s="149">
        <f t="shared" si="0"/>
        <v>366.58391</v>
      </c>
      <c r="J27" s="395">
        <f>'Cogeneration (CHP)'!G19</f>
        <v>362.54908360379932</v>
      </c>
      <c r="K27" s="152">
        <f t="shared" si="1"/>
        <v>729.13299360379938</v>
      </c>
      <c r="L27" s="152">
        <f>('Generation (TWh)'!K27/8766*1000)/K27</f>
        <v>0.57581874630460717</v>
      </c>
      <c r="M27" s="394"/>
      <c r="N27" s="152">
        <v>41.5</v>
      </c>
      <c r="O27" s="151">
        <f t="shared" si="2"/>
        <v>0.98907017869995684</v>
      </c>
      <c r="P27" s="123"/>
    </row>
    <row r="28" spans="2:20">
      <c r="B28" s="389">
        <v>2009</v>
      </c>
      <c r="C28" s="147">
        <f>Nuclear!G29/1000</f>
        <v>373.21</v>
      </c>
      <c r="D28" s="160">
        <f>Wind!D29/1000</f>
        <v>158.864</v>
      </c>
      <c r="E28" s="149">
        <f>Hydro!D19</f>
        <v>171.97399999999999</v>
      </c>
      <c r="F28" s="149">
        <f>Biomass!E19</f>
        <v>57.271999999999998</v>
      </c>
      <c r="G28" s="149">
        <f>PV!I29/1000</f>
        <v>23.184999999999999</v>
      </c>
      <c r="H28" s="149">
        <f>Geothermal!E19</f>
        <v>10.26127</v>
      </c>
      <c r="I28" s="149">
        <f t="shared" si="0"/>
        <v>421.55626999999998</v>
      </c>
      <c r="J28" s="395">
        <f>'Cogeneration (CHP)'!G20</f>
        <v>385.21836145007524</v>
      </c>
      <c r="K28" s="152">
        <f t="shared" si="1"/>
        <v>806.77463145007528</v>
      </c>
      <c r="L28" s="152">
        <f>('Generation (TWh)'!K28/8766*1000)/K28</f>
        <v>0.55938322403577889</v>
      </c>
      <c r="M28" s="394"/>
      <c r="N28" s="152">
        <v>54</v>
      </c>
      <c r="O28" s="151">
        <f t="shared" si="2"/>
        <v>0.98231183816739942</v>
      </c>
    </row>
    <row r="29" spans="2:20">
      <c r="B29" s="389">
        <v>2010</v>
      </c>
      <c r="C29" s="147">
        <f>Nuclear!G30/1000</f>
        <v>375.41</v>
      </c>
      <c r="D29" s="160">
        <f>Wind!D30/1000</f>
        <v>197.68600000000001</v>
      </c>
      <c r="E29" s="149">
        <f>Hydro!D20</f>
        <v>177.76599999999999</v>
      </c>
      <c r="F29" s="149">
        <f>Biomass!E20</f>
        <v>60.906999999999996</v>
      </c>
      <c r="G29" s="149">
        <f>PV!I30/1000</f>
        <v>40.335999999999999</v>
      </c>
      <c r="H29" s="149">
        <f>Geothermal!E20</f>
        <v>10.568770000000001</v>
      </c>
      <c r="I29" s="149">
        <f t="shared" si="0"/>
        <v>487.26377000000002</v>
      </c>
      <c r="J29" s="395">
        <f>'Cogeneration (CHP)'!G21</f>
        <v>418.60227484857552</v>
      </c>
      <c r="K29" s="152">
        <f t="shared" si="1"/>
        <v>905.86604484857548</v>
      </c>
      <c r="L29" s="152">
        <f>('Generation (TWh)'!K29/8766*1000)/K29</f>
        <v>0.53893745238433322</v>
      </c>
      <c r="M29" s="394"/>
      <c r="N29" s="152">
        <v>63.8</v>
      </c>
      <c r="O29" s="151">
        <f t="shared" si="2"/>
        <v>0.9709698284061935</v>
      </c>
    </row>
    <row r="30" spans="2:20">
      <c r="B30" s="396">
        <v>2011</v>
      </c>
      <c r="C30" s="147">
        <f>Nuclear!G31/1000</f>
        <v>380.28</v>
      </c>
      <c r="D30" s="160">
        <f>Wind!D31/1000</f>
        <v>238.035</v>
      </c>
      <c r="E30" s="149">
        <f>Hydro!D21</f>
        <v>182.18899999999999</v>
      </c>
      <c r="F30" s="149">
        <f>Biomass!E21</f>
        <v>66.555999999999997</v>
      </c>
      <c r="G30" s="149">
        <f>PV!I31/1000</f>
        <v>70.468999999999994</v>
      </c>
      <c r="H30" s="149">
        <f>Geothermal!E21</f>
        <v>10.750770000000001</v>
      </c>
      <c r="I30" s="149">
        <f t="shared" si="0"/>
        <v>567.99977000000001</v>
      </c>
      <c r="J30" s="395">
        <f>'Cogeneration (CHP)'!G22</f>
        <v>451.84281154588933</v>
      </c>
      <c r="K30" s="147">
        <f>SUM(D30:H30)+J30</f>
        <v>1019.8425815458893</v>
      </c>
      <c r="L30" s="147">
        <f>('Generation (TWh)'!K30/8766*1000)/K30</f>
        <v>0.52646897237770085</v>
      </c>
      <c r="M30" s="394"/>
      <c r="N30" s="152">
        <v>80.8</v>
      </c>
      <c r="O30" s="151">
        <f t="shared" si="2"/>
        <v>1.0007927070947287</v>
      </c>
    </row>
    <row r="31" spans="2:20">
      <c r="B31" s="397">
        <v>2012</v>
      </c>
      <c r="C31" s="147">
        <f>Nuclear!G32/1000</f>
        <v>374.6</v>
      </c>
      <c r="D31" s="160">
        <f>Wind!D32/1000</f>
        <v>282.43</v>
      </c>
      <c r="E31" s="149">
        <f>Hydro!D22</f>
        <v>186.60599999999999</v>
      </c>
      <c r="F31" s="149">
        <f>Biomass!E22</f>
        <v>70.915999999999997</v>
      </c>
      <c r="G31" s="149">
        <f>PV!I32/1000</f>
        <v>100.504</v>
      </c>
      <c r="H31" s="149">
        <f>Geothermal!E22</f>
        <v>11.395899999999999</v>
      </c>
      <c r="I31" s="149">
        <f>SUM(D31:H31)</f>
        <v>651.8519</v>
      </c>
      <c r="J31" s="395">
        <f>'Cogeneration (CHP)'!G23</f>
        <v>484.33798708276004</v>
      </c>
      <c r="K31" s="147">
        <f>SUM(D31:H31)+J31</f>
        <v>1136.1898870827599</v>
      </c>
      <c r="L31" s="147">
        <f>('Generation (TWh)'!K31/8766*1000)/K31</f>
        <v>0.51259640986848132</v>
      </c>
      <c r="M31" s="394"/>
      <c r="N31" s="152">
        <v>88.1</v>
      </c>
      <c r="O31" s="151">
        <f t="shared" si="2"/>
        <v>1.0506590589887224</v>
      </c>
    </row>
    <row r="32" spans="2:20" ht="14" thickBot="1">
      <c r="B32" s="398">
        <v>2013</v>
      </c>
      <c r="C32" s="154">
        <f>Nuclear!G33/1000</f>
        <v>377.64</v>
      </c>
      <c r="D32" s="159">
        <f>Wind!D33/1000</f>
        <v>318.10500000000002</v>
      </c>
      <c r="E32" s="156">
        <f>Hydro!D23</f>
        <v>190.655</v>
      </c>
      <c r="F32" s="156">
        <f>Biomass!E23</f>
        <v>76.427000000000007</v>
      </c>
      <c r="G32" s="156">
        <f>PV!I33/1000</f>
        <v>138.85599999999999</v>
      </c>
      <c r="H32" s="156">
        <f>Geothermal!E23</f>
        <v>12.4564</v>
      </c>
      <c r="I32" s="156">
        <f>SUM(D32:H32)</f>
        <v>736.49940000000004</v>
      </c>
      <c r="J32" s="157">
        <f>'Cogeneration (CHP)'!G24</f>
        <v>524.965977969699</v>
      </c>
      <c r="K32" s="154">
        <f>SUM(D32:H32)+J32</f>
        <v>1261.4653779696991</v>
      </c>
      <c r="L32" s="154">
        <f>('Generation (TWh)'!K32/8766*1000)/K32</f>
        <v>0.5012135813367341</v>
      </c>
      <c r="M32" s="394"/>
      <c r="N32" s="158">
        <v>82.2</v>
      </c>
      <c r="O32" s="399">
        <f t="shared" si="2"/>
        <v>0.97108597418706954</v>
      </c>
    </row>
    <row r="34" spans="2:14" ht="12.75" customHeight="1">
      <c r="B34" s="124"/>
      <c r="C34" s="125"/>
      <c r="D34" s="126"/>
      <c r="E34" s="127"/>
      <c r="F34" s="128"/>
      <c r="G34" s="129"/>
      <c r="H34" s="130"/>
      <c r="I34" s="130"/>
      <c r="J34" s="131"/>
      <c r="K34" s="128"/>
      <c r="L34" s="132"/>
      <c r="N34" s="123"/>
    </row>
    <row r="35" spans="2:14" ht="12.75" customHeight="1"/>
    <row r="36" spans="2:14" ht="12.75" customHeight="1">
      <c r="B36" s="123"/>
    </row>
    <row r="37" spans="2:14" ht="12.75" customHeight="1">
      <c r="B37" s="123"/>
    </row>
    <row r="38" spans="2:14" ht="12.75" customHeight="1">
      <c r="B38" s="123"/>
    </row>
    <row r="39" spans="2:14" ht="12.75" customHeight="1">
      <c r="B39" s="123"/>
    </row>
    <row r="40" spans="2:14" ht="12.75" customHeight="1">
      <c r="B40" s="123"/>
      <c r="C40" s="123"/>
    </row>
    <row r="41" spans="2:14" ht="12.75" customHeight="1">
      <c r="B41" s="123"/>
      <c r="C41" s="123"/>
    </row>
    <row r="42" spans="2:14" ht="12.75" customHeight="1">
      <c r="B42" s="123"/>
      <c r="C42" s="123"/>
    </row>
    <row r="43" spans="2:14" ht="12.75" customHeight="1">
      <c r="B43" s="123"/>
    </row>
    <row r="44" spans="2:14" ht="12.75" customHeight="1">
      <c r="B44" s="123"/>
    </row>
    <row r="45" spans="2:14" ht="12.75" customHeight="1">
      <c r="B45" s="123"/>
    </row>
    <row r="46" spans="2:14" ht="12.75" customHeight="1">
      <c r="B46" s="123"/>
    </row>
    <row r="47" spans="2:14" ht="12.75" customHeight="1"/>
    <row r="48" spans="2:14" ht="12.75" customHeight="1">
      <c r="H48" s="121"/>
    </row>
    <row r="49" spans="6:15">
      <c r="F49" s="122"/>
      <c r="G49" s="122"/>
      <c r="H49" s="122"/>
      <c r="I49" s="122"/>
      <c r="J49" s="122"/>
      <c r="K49" s="122"/>
      <c r="L49" s="122"/>
      <c r="M49" s="122"/>
    </row>
    <row r="50" spans="6:15">
      <c r="H50" s="122"/>
      <c r="I50" s="122"/>
      <c r="J50" s="122"/>
      <c r="K50" s="122"/>
      <c r="L50" s="122"/>
      <c r="M50" s="122"/>
      <c r="N50" s="122"/>
      <c r="O50" s="122"/>
    </row>
    <row r="51" spans="6:15">
      <c r="H51" s="122"/>
      <c r="I51" s="122"/>
      <c r="J51" s="122"/>
      <c r="K51" s="122"/>
      <c r="L51" s="122"/>
      <c r="M51" s="122"/>
      <c r="N51" s="122"/>
      <c r="O51" s="122"/>
    </row>
    <row r="52" spans="6:15">
      <c r="H52" s="122"/>
      <c r="I52" s="122"/>
      <c r="J52" s="122"/>
      <c r="K52" s="122"/>
      <c r="L52" s="122"/>
      <c r="M52" s="122"/>
      <c r="N52" s="122"/>
      <c r="O52" s="122"/>
    </row>
    <row r="53" spans="6:15">
      <c r="H53" s="122"/>
      <c r="I53" s="122"/>
      <c r="J53" s="122"/>
      <c r="K53" s="122"/>
      <c r="L53" s="122"/>
      <c r="M53" s="122"/>
      <c r="N53" s="122"/>
      <c r="O53" s="122"/>
    </row>
    <row r="54" spans="6:15">
      <c r="H54" s="122"/>
      <c r="I54" s="122"/>
      <c r="J54" s="122"/>
      <c r="K54" s="122"/>
      <c r="L54" s="122"/>
      <c r="M54" s="122"/>
      <c r="N54" s="122"/>
      <c r="O54" s="122"/>
    </row>
    <row r="55" spans="6:15">
      <c r="H55" s="122"/>
      <c r="I55" s="122"/>
      <c r="J55" s="122"/>
      <c r="K55" s="122"/>
      <c r="L55" s="122"/>
      <c r="M55" s="122"/>
      <c r="N55" s="122"/>
      <c r="O55" s="122"/>
    </row>
    <row r="56" spans="6:15">
      <c r="H56" s="122"/>
      <c r="I56" s="122"/>
      <c r="J56" s="122"/>
      <c r="K56" s="122"/>
      <c r="L56" s="122"/>
      <c r="M56" s="122"/>
      <c r="N56" s="122"/>
      <c r="O56" s="122"/>
    </row>
    <row r="57" spans="6:15">
      <c r="H57" s="122"/>
      <c r="I57" s="122"/>
      <c r="J57" s="122"/>
      <c r="K57" s="122"/>
      <c r="L57" s="122"/>
      <c r="M57" s="122"/>
      <c r="N57" s="122"/>
      <c r="O57" s="122"/>
    </row>
    <row r="58" spans="6:15">
      <c r="H58" s="122"/>
      <c r="I58" s="122"/>
      <c r="J58" s="122"/>
      <c r="K58" s="122"/>
      <c r="L58" s="122"/>
      <c r="M58" s="122"/>
      <c r="N58" s="122"/>
      <c r="O58" s="122"/>
    </row>
    <row r="59" spans="6:15">
      <c r="H59" s="122"/>
      <c r="I59" s="122"/>
      <c r="J59" s="122"/>
      <c r="K59" s="122"/>
      <c r="L59" s="122"/>
      <c r="M59" s="122"/>
      <c r="N59" s="122"/>
      <c r="O59" s="122"/>
    </row>
    <row r="60" spans="6:15">
      <c r="H60" s="122"/>
      <c r="I60" s="122"/>
      <c r="J60" s="122"/>
      <c r="K60" s="122"/>
      <c r="L60" s="122"/>
      <c r="M60" s="122"/>
      <c r="N60" s="122"/>
      <c r="O60" s="122"/>
    </row>
  </sheetData>
  <mergeCells count="2">
    <mergeCell ref="O6:O8"/>
    <mergeCell ref="N5:O5"/>
  </mergeCells>
  <phoneticPr fontId="7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 tint="0.39997558519241921"/>
  </sheetPr>
  <dimension ref="B2:R72"/>
  <sheetViews>
    <sheetView showGridLines="0" workbookViewId="0">
      <selection activeCell="B3" sqref="B3"/>
    </sheetView>
  </sheetViews>
  <sheetFormatPr baseColWidth="10" defaultColWidth="11" defaultRowHeight="13" x14ac:dyDescent="0"/>
  <cols>
    <col min="1" max="1" width="2.140625" style="69" customWidth="1"/>
    <col min="2" max="14" width="11.28515625" style="69" customWidth="1"/>
    <col min="15" max="15" width="12.85546875" style="69" customWidth="1"/>
    <col min="16" max="16" width="13.140625" style="69" customWidth="1"/>
    <col min="17" max="16384" width="11" style="69"/>
  </cols>
  <sheetData>
    <row r="2" spans="2:16" ht="16">
      <c r="B2" s="162" t="s">
        <v>246</v>
      </c>
      <c r="C2" s="163"/>
    </row>
    <row r="3" spans="2:16">
      <c r="B3" s="69" t="s">
        <v>186</v>
      </c>
    </row>
    <row r="4" spans="2:16" s="120" customFormat="1">
      <c r="B4" s="120" t="s">
        <v>177</v>
      </c>
    </row>
    <row r="5" spans="2:16" ht="14" thickBot="1">
      <c r="B5" s="68"/>
      <c r="C5" s="68"/>
    </row>
    <row r="6" spans="2:16">
      <c r="B6" s="166"/>
      <c r="C6" s="172" t="s">
        <v>40</v>
      </c>
      <c r="D6" s="167" t="s">
        <v>79</v>
      </c>
      <c r="E6" s="167" t="s">
        <v>33</v>
      </c>
      <c r="F6" s="167" t="s">
        <v>42</v>
      </c>
      <c r="G6" s="167" t="s">
        <v>82</v>
      </c>
      <c r="H6" s="167" t="s">
        <v>12</v>
      </c>
      <c r="I6" s="167" t="s">
        <v>179</v>
      </c>
      <c r="J6" s="167" t="s">
        <v>51</v>
      </c>
      <c r="K6" s="167" t="s">
        <v>96</v>
      </c>
      <c r="L6" s="172" t="s">
        <v>155</v>
      </c>
      <c r="M6" s="172" t="s">
        <v>182</v>
      </c>
      <c r="N6" s="167" t="s">
        <v>185</v>
      </c>
      <c r="O6" s="172" t="s">
        <v>188</v>
      </c>
      <c r="P6" s="168" t="s">
        <v>190</v>
      </c>
    </row>
    <row r="7" spans="2:16">
      <c r="B7" s="169"/>
      <c r="C7" s="173"/>
      <c r="D7" s="170"/>
      <c r="E7" s="170"/>
      <c r="F7" s="170"/>
      <c r="G7" s="170"/>
      <c r="H7" s="170"/>
      <c r="I7" s="170" t="s">
        <v>180</v>
      </c>
      <c r="J7" s="170"/>
      <c r="K7" s="170"/>
      <c r="L7" s="173" t="s">
        <v>184</v>
      </c>
      <c r="M7" s="173"/>
      <c r="N7" s="170" t="s">
        <v>173</v>
      </c>
      <c r="O7" s="173" t="s">
        <v>189</v>
      </c>
      <c r="P7" s="171" t="s">
        <v>189</v>
      </c>
    </row>
    <row r="8" spans="2:16" ht="14" thickBot="1">
      <c r="B8" s="164" t="s">
        <v>178</v>
      </c>
      <c r="C8" s="143" t="s">
        <v>140</v>
      </c>
      <c r="D8" s="165" t="s">
        <v>142</v>
      </c>
      <c r="E8" s="165" t="s">
        <v>150</v>
      </c>
      <c r="F8" s="165" t="s">
        <v>142</v>
      </c>
      <c r="G8" s="165" t="s">
        <v>142</v>
      </c>
      <c r="H8" s="165" t="s">
        <v>150</v>
      </c>
      <c r="I8" s="165" t="s">
        <v>116</v>
      </c>
      <c r="J8" s="165" t="s">
        <v>181</v>
      </c>
      <c r="K8" s="165" t="s">
        <v>116</v>
      </c>
      <c r="L8" s="143" t="s">
        <v>116</v>
      </c>
      <c r="M8" s="143" t="s">
        <v>183</v>
      </c>
      <c r="N8" s="165" t="s">
        <v>142</v>
      </c>
      <c r="O8" s="143" t="s">
        <v>116</v>
      </c>
      <c r="P8" s="142" t="s">
        <v>116</v>
      </c>
    </row>
    <row r="9" spans="2:16">
      <c r="B9" s="118">
        <v>1990</v>
      </c>
      <c r="C9" s="147">
        <f>Nuclear!H10</f>
        <v>1908.807090009667</v>
      </c>
      <c r="D9" s="400">
        <f>Wind!G10</f>
        <v>3.6</v>
      </c>
      <c r="E9" s="391"/>
      <c r="F9" s="391"/>
      <c r="G9" s="391">
        <f>PV!L10</f>
        <v>0.4</v>
      </c>
      <c r="H9" s="392"/>
      <c r="I9" s="392"/>
      <c r="J9" s="392"/>
      <c r="K9" s="393"/>
      <c r="L9" s="152"/>
      <c r="M9" s="152"/>
      <c r="N9" s="160">
        <v>11847.479792009501</v>
      </c>
      <c r="O9" s="74"/>
      <c r="P9" s="73"/>
    </row>
    <row r="10" spans="2:16">
      <c r="B10" s="118">
        <v>1991</v>
      </c>
      <c r="C10" s="147">
        <f>Nuclear!H11</f>
        <v>1996.1400900000001</v>
      </c>
      <c r="D10" s="148">
        <f>Wind!G11</f>
        <v>4.0999999999999996</v>
      </c>
      <c r="E10" s="149"/>
      <c r="F10" s="149"/>
      <c r="G10" s="149">
        <f>PV!L11</f>
        <v>0.5</v>
      </c>
      <c r="H10" s="150"/>
      <c r="I10" s="150"/>
      <c r="J10" s="150"/>
      <c r="K10" s="151"/>
      <c r="L10" s="152"/>
      <c r="M10" s="152"/>
      <c r="N10" s="160">
        <v>12096.976962909999</v>
      </c>
      <c r="O10" s="74"/>
      <c r="P10" s="73"/>
    </row>
    <row r="11" spans="2:16">
      <c r="B11" s="118">
        <v>1992</v>
      </c>
      <c r="C11" s="147">
        <f>Nuclear!H12</f>
        <v>2015.6030599999999</v>
      </c>
      <c r="D11" s="148">
        <f>Wind!G12</f>
        <v>4.7</v>
      </c>
      <c r="E11" s="149"/>
      <c r="F11" s="149"/>
      <c r="G11" s="149">
        <f>PV!L12</f>
        <v>0.5</v>
      </c>
      <c r="H11" s="150"/>
      <c r="I11" s="150"/>
      <c r="J11" s="150"/>
      <c r="K11" s="151"/>
      <c r="L11" s="152"/>
      <c r="M11" s="152"/>
      <c r="N11" s="160">
        <v>12211.057950045801</v>
      </c>
      <c r="O11" s="74"/>
      <c r="P11" s="73"/>
    </row>
    <row r="12" spans="2:16">
      <c r="B12" s="118">
        <v>1993</v>
      </c>
      <c r="C12" s="147">
        <f>Nuclear!H13</f>
        <v>2081.6272820000004</v>
      </c>
      <c r="D12" s="148">
        <f>Wind!G13</f>
        <v>5.7</v>
      </c>
      <c r="E12" s="149"/>
      <c r="F12" s="149"/>
      <c r="G12" s="149">
        <f>PV!L13</f>
        <v>0.6</v>
      </c>
      <c r="H12" s="150"/>
      <c r="I12" s="150"/>
      <c r="J12" s="150"/>
      <c r="K12" s="151"/>
      <c r="L12" s="152"/>
      <c r="M12" s="152"/>
      <c r="N12" s="160">
        <v>12474.613892899701</v>
      </c>
      <c r="O12" s="74"/>
      <c r="P12" s="73"/>
    </row>
    <row r="13" spans="2:16">
      <c r="B13" s="118">
        <v>1994</v>
      </c>
      <c r="C13" s="147">
        <f>Nuclear!H14</f>
        <v>2125.160042</v>
      </c>
      <c r="D13" s="148">
        <f>Wind!G14</f>
        <v>7.1</v>
      </c>
      <c r="E13" s="149"/>
      <c r="F13" s="149"/>
      <c r="G13" s="149">
        <f>PV!L14</f>
        <v>0.6</v>
      </c>
      <c r="H13" s="150"/>
      <c r="I13" s="150"/>
      <c r="J13" s="150"/>
      <c r="K13" s="151"/>
      <c r="L13" s="152"/>
      <c r="M13" s="152"/>
      <c r="N13" s="160">
        <v>12805.8504494359</v>
      </c>
      <c r="O13" s="74"/>
      <c r="P13" s="73"/>
    </row>
    <row r="14" spans="2:16">
      <c r="B14" s="118">
        <v>1995</v>
      </c>
      <c r="C14" s="147">
        <f>Nuclear!H15</f>
        <v>2190.94</v>
      </c>
      <c r="D14" s="148">
        <f>Wind!G15</f>
        <v>8.3000000000000007</v>
      </c>
      <c r="E14" s="149"/>
      <c r="F14" s="149"/>
      <c r="G14" s="149">
        <f>PV!L15</f>
        <v>0.6</v>
      </c>
      <c r="H14" s="150"/>
      <c r="I14" s="150"/>
      <c r="J14" s="150"/>
      <c r="K14" s="151"/>
      <c r="L14" s="152"/>
      <c r="M14" s="152"/>
      <c r="N14" s="160">
        <v>13246.396337104299</v>
      </c>
      <c r="O14" s="74"/>
      <c r="P14" s="73"/>
    </row>
    <row r="15" spans="2:16">
      <c r="B15" s="118">
        <v>1996</v>
      </c>
      <c r="C15" s="147">
        <f>Nuclear!H16</f>
        <v>2265.25</v>
      </c>
      <c r="D15" s="148">
        <f>Wind!G16</f>
        <v>9.1999999999999993</v>
      </c>
      <c r="E15" s="149"/>
      <c r="F15" s="149"/>
      <c r="G15" s="149">
        <f>PV!L16</f>
        <v>0.7</v>
      </c>
      <c r="H15" s="150"/>
      <c r="I15" s="150"/>
      <c r="J15" s="150"/>
      <c r="K15" s="151"/>
      <c r="L15" s="152"/>
      <c r="M15" s="152"/>
      <c r="N15" s="160">
        <v>13673.232695358</v>
      </c>
      <c r="O15" s="74"/>
      <c r="P15" s="73"/>
    </row>
    <row r="16" spans="2:16">
      <c r="B16" s="118">
        <v>1997</v>
      </c>
      <c r="C16" s="147">
        <f>Nuclear!H17</f>
        <v>2245.88</v>
      </c>
      <c r="D16" s="148">
        <f>Wind!G17</f>
        <v>12</v>
      </c>
      <c r="E16" s="149"/>
      <c r="F16" s="149"/>
      <c r="G16" s="149">
        <f>PV!L17</f>
        <v>0.7</v>
      </c>
      <c r="H16" s="150"/>
      <c r="I16" s="150"/>
      <c r="J16" s="150"/>
      <c r="K16" s="151"/>
      <c r="L16" s="152"/>
      <c r="M16" s="152"/>
      <c r="N16" s="160">
        <v>13959.568127075599</v>
      </c>
      <c r="O16" s="74"/>
      <c r="P16" s="73"/>
    </row>
    <row r="17" spans="2:18">
      <c r="B17" s="118">
        <v>1998</v>
      </c>
      <c r="C17" s="147">
        <f>Nuclear!H18</f>
        <v>2289.9299999999998</v>
      </c>
      <c r="D17" s="148">
        <f>Wind!G18</f>
        <v>16</v>
      </c>
      <c r="E17" s="149"/>
      <c r="F17" s="149"/>
      <c r="G17" s="149">
        <f>PV!L18</f>
        <v>0.8</v>
      </c>
      <c r="H17" s="150"/>
      <c r="I17" s="150"/>
      <c r="J17" s="150"/>
      <c r="K17" s="151"/>
      <c r="L17" s="152"/>
      <c r="M17" s="152"/>
      <c r="N17" s="160">
        <v>14340.2093338958</v>
      </c>
      <c r="O17" s="74"/>
      <c r="P17" s="73"/>
    </row>
    <row r="18" spans="2:18">
      <c r="B18" s="118">
        <v>1999</v>
      </c>
      <c r="C18" s="147">
        <f>Nuclear!H19</f>
        <v>2372.84</v>
      </c>
      <c r="D18" s="148">
        <f>Wind!G19</f>
        <v>21.2</v>
      </c>
      <c r="E18" s="149"/>
      <c r="F18" s="149"/>
      <c r="G18" s="149">
        <f>PV!L19</f>
        <v>0.9</v>
      </c>
      <c r="H18" s="150"/>
      <c r="I18" s="150"/>
      <c r="J18" s="150"/>
      <c r="K18" s="151"/>
      <c r="L18" s="152"/>
      <c r="M18" s="152"/>
      <c r="N18" s="160">
        <v>14715.8597502181</v>
      </c>
      <c r="O18" s="74"/>
      <c r="P18" s="73"/>
    </row>
    <row r="19" spans="2:18">
      <c r="B19" s="118">
        <v>2000</v>
      </c>
      <c r="C19" s="147">
        <f>Nuclear!H20</f>
        <v>2440.92</v>
      </c>
      <c r="D19" s="148">
        <f>Wind!G20</f>
        <v>29.5</v>
      </c>
      <c r="E19" s="149">
        <f>Hydro!F10</f>
        <v>459.51722639999997</v>
      </c>
      <c r="F19" s="149">
        <f>Biomass!I10</f>
        <v>197.16060941987601</v>
      </c>
      <c r="G19" s="149">
        <f>PV!L20</f>
        <v>1</v>
      </c>
      <c r="H19" s="153">
        <f>Geothermal!H10</f>
        <v>49.891644293399992</v>
      </c>
      <c r="I19" s="153">
        <f t="shared" ref="I19:I29" si="0">SUM(D19:H19)</f>
        <v>737.06948011327597</v>
      </c>
      <c r="J19" s="150">
        <f>'Cogeneration (CHP)'!J11</f>
        <v>1554.9223457925698</v>
      </c>
      <c r="K19" s="151">
        <f t="shared" ref="K19:K27" si="1">F19+J19+G19+D19+E19+H19</f>
        <v>2291.9918259058459</v>
      </c>
      <c r="L19" s="152">
        <f t="shared" ref="L19:L27" si="2">K19/C19*100</f>
        <v>93.898686802756572</v>
      </c>
      <c r="M19" s="152">
        <f>Hydro!K10</f>
        <v>2202.6840543840403</v>
      </c>
      <c r="N19" s="160">
        <v>15379.765413134601</v>
      </c>
      <c r="O19" s="144">
        <f t="shared" ref="O19:O27" si="3">K19/N19</f>
        <v>0.14902644899566822</v>
      </c>
      <c r="P19" s="82">
        <f>C19/N19</f>
        <v>0.15870983298063895</v>
      </c>
    </row>
    <row r="20" spans="2:18">
      <c r="B20" s="118">
        <v>2001</v>
      </c>
      <c r="C20" s="147">
        <f>Nuclear!H21</f>
        <v>2506.66</v>
      </c>
      <c r="D20" s="148">
        <f>Wind!G21</f>
        <v>38.5</v>
      </c>
      <c r="E20" s="149">
        <f>Hydro!F11</f>
        <v>461.39139720000003</v>
      </c>
      <c r="F20" s="149">
        <f>Biomass!I11</f>
        <v>199.07950291697901</v>
      </c>
      <c r="G20" s="149">
        <f>PV!L21</f>
        <v>1.3</v>
      </c>
      <c r="H20" s="153">
        <f>Geothermal!H11</f>
        <v>50.549023201139995</v>
      </c>
      <c r="I20" s="153">
        <f t="shared" si="0"/>
        <v>750.81992331811898</v>
      </c>
      <c r="J20" s="150">
        <f>'Cogeneration (CHP)'!J12</f>
        <v>1645.1487861974358</v>
      </c>
      <c r="K20" s="151">
        <f t="shared" si="1"/>
        <v>2395.9687095155546</v>
      </c>
      <c r="L20" s="152">
        <f t="shared" si="2"/>
        <v>95.584112305440499</v>
      </c>
      <c r="M20" s="152">
        <f>Hydro!K11</f>
        <v>2132.9853311717397</v>
      </c>
      <c r="N20" s="160">
        <v>15626.4513781612</v>
      </c>
      <c r="O20" s="144">
        <f t="shared" si="3"/>
        <v>0.15332775506946181</v>
      </c>
      <c r="P20" s="82">
        <f t="shared" ref="P20:P32" si="4">C20/N20</f>
        <v>0.16041133967902596</v>
      </c>
    </row>
    <row r="21" spans="2:18">
      <c r="B21" s="118">
        <v>2002</v>
      </c>
      <c r="C21" s="147">
        <f>Nuclear!H22</f>
        <v>2549.31</v>
      </c>
      <c r="D21" s="148">
        <f>Wind!G22</f>
        <v>53</v>
      </c>
      <c r="E21" s="149">
        <f>Hydro!F12</f>
        <v>469.97944740000008</v>
      </c>
      <c r="F21" s="149">
        <f>Biomass!I12</f>
        <v>214.68335167586201</v>
      </c>
      <c r="G21" s="149">
        <f>PV!L22</f>
        <v>1.6</v>
      </c>
      <c r="H21" s="153">
        <f>Geothermal!H12</f>
        <v>52.060819745879996</v>
      </c>
      <c r="I21" s="153">
        <f t="shared" si="0"/>
        <v>791.323618821742</v>
      </c>
      <c r="J21" s="150">
        <f>'Cogeneration (CHP)'!J13</f>
        <v>1748.6676096130589</v>
      </c>
      <c r="K21" s="151">
        <f t="shared" si="1"/>
        <v>2539.9912284348011</v>
      </c>
      <c r="L21" s="152">
        <f t="shared" si="2"/>
        <v>99.634459066759291</v>
      </c>
      <c r="M21" s="152">
        <f>Hydro!K12</f>
        <v>2176.46926051425</v>
      </c>
      <c r="N21" s="160">
        <v>16183.0925133773</v>
      </c>
      <c r="O21" s="144">
        <f t="shared" si="3"/>
        <v>0.15695338986261054</v>
      </c>
      <c r="P21" s="82">
        <f t="shared" si="4"/>
        <v>0.15752922365689279</v>
      </c>
    </row>
    <row r="22" spans="2:18">
      <c r="B22" s="118">
        <v>2003</v>
      </c>
      <c r="C22" s="147">
        <f>Nuclear!H23</f>
        <v>2502.5</v>
      </c>
      <c r="D22" s="148">
        <f>Wind!G23</f>
        <v>63.4</v>
      </c>
      <c r="E22" s="149">
        <f>Hydro!F13</f>
        <v>482.03445060000007</v>
      </c>
      <c r="F22" s="149">
        <f>Biomass!I13</f>
        <v>227.86445755922199</v>
      </c>
      <c r="G22" s="149">
        <f>PV!L23</f>
        <v>2</v>
      </c>
      <c r="H22" s="153">
        <f>Geothermal!H13</f>
        <v>53.863119339120004</v>
      </c>
      <c r="I22" s="153">
        <f t="shared" si="0"/>
        <v>829.16202749834201</v>
      </c>
      <c r="J22" s="150">
        <f>'Cogeneration (CHP)'!J14</f>
        <v>1856.6753258455385</v>
      </c>
      <c r="K22" s="151">
        <f t="shared" si="1"/>
        <v>2685.8373533438807</v>
      </c>
      <c r="L22" s="152">
        <f t="shared" si="2"/>
        <v>107.32616796578944</v>
      </c>
      <c r="M22" s="152">
        <f>Hydro!K13</f>
        <v>2157.2771243499897</v>
      </c>
      <c r="N22" s="160">
        <v>16792.610945695302</v>
      </c>
      <c r="O22" s="144">
        <f t="shared" si="3"/>
        <v>0.15994161729998163</v>
      </c>
      <c r="P22" s="82">
        <f t="shared" si="4"/>
        <v>0.14902387770982706</v>
      </c>
    </row>
    <row r="23" spans="2:18">
      <c r="B23" s="118">
        <v>2004</v>
      </c>
      <c r="C23" s="147">
        <f>Nuclear!H24</f>
        <v>2616.2399999999998</v>
      </c>
      <c r="D23" s="148">
        <f>Wind!G24</f>
        <v>85.7</v>
      </c>
      <c r="E23" s="149">
        <f>Hydro!F14</f>
        <v>495.97852680000005</v>
      </c>
      <c r="F23" s="149">
        <f>Biomass!I14</f>
        <v>245.51629955172999</v>
      </c>
      <c r="G23" s="149">
        <f>PV!L24</f>
        <v>2.6</v>
      </c>
      <c r="H23" s="153">
        <f>Geothermal!H14</f>
        <v>55.076581729259999</v>
      </c>
      <c r="I23" s="153">
        <f t="shared" si="0"/>
        <v>884.87140808099002</v>
      </c>
      <c r="J23" s="150">
        <f>'Cogeneration (CHP)'!J15</f>
        <v>1946.6905575016026</v>
      </c>
      <c r="K23" s="151">
        <f t="shared" si="1"/>
        <v>2831.5619655825922</v>
      </c>
      <c r="L23" s="152">
        <f t="shared" si="2"/>
        <v>108.23020692224689</v>
      </c>
      <c r="M23" s="152">
        <f>Hydro!K14</f>
        <v>2310.5708929008001</v>
      </c>
      <c r="N23" s="160">
        <v>17553.598586572101</v>
      </c>
      <c r="O23" s="144">
        <f t="shared" si="3"/>
        <v>0.16130948600753806</v>
      </c>
      <c r="P23" s="82">
        <f t="shared" si="4"/>
        <v>0.14904294336554633</v>
      </c>
    </row>
    <row r="24" spans="2:18">
      <c r="B24" s="118">
        <v>2005</v>
      </c>
      <c r="C24" s="147">
        <f>Nuclear!H25</f>
        <v>2626.34</v>
      </c>
      <c r="D24" s="148">
        <f>Wind!G25</f>
        <v>104.4</v>
      </c>
      <c r="E24" s="149">
        <f>Hydro!F15</f>
        <v>513.61045920000004</v>
      </c>
      <c r="F24" s="149">
        <f>Biomass!I15</f>
        <v>265.736272080481</v>
      </c>
      <c r="G24" s="149">
        <f>PV!L25</f>
        <v>3.7</v>
      </c>
      <c r="H24" s="153">
        <f>Geothermal!H15</f>
        <v>56.042827140600004</v>
      </c>
      <c r="I24" s="153">
        <f t="shared" si="0"/>
        <v>943.48955842108114</v>
      </c>
      <c r="J24" s="150">
        <f>'Cogeneration (CHP)'!J16</f>
        <v>2059.9036419656095</v>
      </c>
      <c r="K24" s="151">
        <f t="shared" si="1"/>
        <v>3003.3932003866903</v>
      </c>
      <c r="L24" s="152">
        <f t="shared" si="2"/>
        <v>114.35660273942787</v>
      </c>
      <c r="M24" s="152">
        <f>Hydro!K15</f>
        <v>2411.0118835595799</v>
      </c>
      <c r="N24" s="160">
        <v>18311.555971362901</v>
      </c>
      <c r="O24" s="144">
        <f t="shared" si="3"/>
        <v>0.16401627502783711</v>
      </c>
      <c r="P24" s="82">
        <f t="shared" si="4"/>
        <v>0.14342527768297156</v>
      </c>
    </row>
    <row r="25" spans="2:18">
      <c r="B25" s="118">
        <v>2006</v>
      </c>
      <c r="C25" s="147">
        <f>Nuclear!H26</f>
        <v>2660.85</v>
      </c>
      <c r="D25" s="148">
        <f>Wind!G26</f>
        <v>133.19999999999999</v>
      </c>
      <c r="E25" s="149">
        <f>Hydro!F16</f>
        <v>531.16174440000009</v>
      </c>
      <c r="F25" s="149">
        <f>Biomass!I16</f>
        <v>281.50565030315698</v>
      </c>
      <c r="G25" s="149">
        <f>PV!L26</f>
        <v>5</v>
      </c>
      <c r="H25" s="153">
        <f>Geothermal!H16</f>
        <v>58.244189723370006</v>
      </c>
      <c r="I25" s="153">
        <f t="shared" si="0"/>
        <v>1009.1115844265271</v>
      </c>
      <c r="J25" s="150">
        <f>'Cogeneration (CHP)'!J17</f>
        <v>2183.9984291316277</v>
      </c>
      <c r="K25" s="151">
        <f t="shared" si="1"/>
        <v>3193.1100135581542</v>
      </c>
      <c r="L25" s="152">
        <f t="shared" si="2"/>
        <v>120.00338288735381</v>
      </c>
      <c r="M25" s="152">
        <f>Hydro!K16</f>
        <v>2512.5804324024002</v>
      </c>
      <c r="N25" s="160">
        <v>19025.523779428499</v>
      </c>
      <c r="O25" s="144">
        <f t="shared" si="3"/>
        <v>0.16783296221314706</v>
      </c>
      <c r="P25" s="82">
        <f t="shared" si="4"/>
        <v>0.13985685917762042</v>
      </c>
    </row>
    <row r="26" spans="2:18">
      <c r="B26" s="118">
        <v>2007</v>
      </c>
      <c r="C26" s="147">
        <f>Nuclear!H27</f>
        <v>2608.1799999999998</v>
      </c>
      <c r="D26" s="148">
        <f>Wind!G27</f>
        <v>170.7</v>
      </c>
      <c r="E26" s="149">
        <f>Hydro!F17</f>
        <v>550.58544720000009</v>
      </c>
      <c r="F26" s="149">
        <f>Biomass!I17</f>
        <v>300.20522452974598</v>
      </c>
      <c r="G26" s="149">
        <f>PV!L27</f>
        <v>6.7</v>
      </c>
      <c r="H26" s="153">
        <f>Geothermal!H17</f>
        <v>61.476532348319992</v>
      </c>
      <c r="I26" s="153">
        <f t="shared" si="0"/>
        <v>1089.6672040780661</v>
      </c>
      <c r="J26" s="150">
        <f>'Cogeneration (CHP)'!J18</f>
        <v>2325.7055528786341</v>
      </c>
      <c r="K26" s="151">
        <f t="shared" si="1"/>
        <v>3415.3727569566995</v>
      </c>
      <c r="L26" s="152">
        <f t="shared" si="2"/>
        <v>130.94850650479259</v>
      </c>
      <c r="M26" s="152">
        <f>Hydro!K17</f>
        <v>2544.2444485799601</v>
      </c>
      <c r="N26" s="160">
        <v>19907.793832954201</v>
      </c>
      <c r="O26" s="144">
        <f t="shared" si="3"/>
        <v>0.17155958041433453</v>
      </c>
      <c r="P26" s="82">
        <f t="shared" si="4"/>
        <v>0.13101301037599508</v>
      </c>
    </row>
    <row r="27" spans="2:18">
      <c r="B27" s="118">
        <v>2008</v>
      </c>
      <c r="C27" s="147">
        <f>Nuclear!H28</f>
        <v>2597.81</v>
      </c>
      <c r="D27" s="148">
        <f>Wind!G28</f>
        <v>219.2</v>
      </c>
      <c r="E27" s="149">
        <f>Hydro!F18</f>
        <v>569.78211060000001</v>
      </c>
      <c r="F27" s="149">
        <f>Biomass!I18</f>
        <v>314.15668730201799</v>
      </c>
      <c r="G27" s="149">
        <f>PV!L28</f>
        <v>11.2</v>
      </c>
      <c r="H27" s="153">
        <f>Geothermal!H18</f>
        <v>64.328039039880011</v>
      </c>
      <c r="I27" s="153">
        <f t="shared" si="0"/>
        <v>1178.6668369418978</v>
      </c>
      <c r="J27" s="150">
        <f>'Cogeneration (CHP)'!J19</f>
        <v>2501.7246430281803</v>
      </c>
      <c r="K27" s="151">
        <f t="shared" si="1"/>
        <v>3680.3914799700779</v>
      </c>
      <c r="L27" s="152">
        <f t="shared" si="2"/>
        <v>141.67285059223261</v>
      </c>
      <c r="M27" s="152">
        <f>Hydro!K18</f>
        <v>2647.9582119729598</v>
      </c>
      <c r="N27" s="160">
        <v>20336.2724557199</v>
      </c>
      <c r="O27" s="144">
        <f t="shared" si="3"/>
        <v>0.18097670003112637</v>
      </c>
      <c r="P27" s="82">
        <f t="shared" si="4"/>
        <v>0.12774268271909017</v>
      </c>
    </row>
    <row r="28" spans="2:18">
      <c r="B28" s="118">
        <v>2009</v>
      </c>
      <c r="C28" s="147">
        <f>Nuclear!H29</f>
        <v>2558.06</v>
      </c>
      <c r="D28" s="148">
        <f>Wind!G29</f>
        <v>277.89999999999998</v>
      </c>
      <c r="E28" s="149">
        <f>Hydro!F19</f>
        <v>588.90338640000004</v>
      </c>
      <c r="F28" s="149">
        <f>Biomass!I19</f>
        <v>330.52559059084899</v>
      </c>
      <c r="G28" s="149">
        <f>PV!L29</f>
        <v>19.100000000000001</v>
      </c>
      <c r="H28" s="153">
        <f>Geothermal!H19</f>
        <v>67.027492097999996</v>
      </c>
      <c r="I28" s="153">
        <f t="shared" si="0"/>
        <v>1283.456469088849</v>
      </c>
      <c r="J28" s="150">
        <f>'Cogeneration (CHP)'!J20</f>
        <v>2672.605971116403</v>
      </c>
      <c r="K28" s="151">
        <f>F28+J28+G28+D28+E28+H28</f>
        <v>3956.0624402052517</v>
      </c>
      <c r="L28" s="152">
        <f>K28/C28*100</f>
        <v>154.65088544464368</v>
      </c>
      <c r="M28" s="152">
        <f>Hydro!K19</f>
        <v>2671.7719831310596</v>
      </c>
      <c r="N28" s="160">
        <v>20093.560532533498</v>
      </c>
      <c r="O28" s="144">
        <f>K28/N28</f>
        <v>0.19688210229341824</v>
      </c>
      <c r="P28" s="82">
        <f t="shared" si="4"/>
        <v>0.12730745234814125</v>
      </c>
    </row>
    <row r="29" spans="2:18">
      <c r="B29" s="118">
        <v>2010</v>
      </c>
      <c r="C29" s="147">
        <f>Nuclear!H30</f>
        <v>2629.82</v>
      </c>
      <c r="D29" s="148">
        <f>Wind!G30</f>
        <v>348.1</v>
      </c>
      <c r="E29" s="149">
        <f>Hydro!F20</f>
        <v>608.08690079999997</v>
      </c>
      <c r="F29" s="149">
        <f>Biomass!I20</f>
        <v>366.65114241462999</v>
      </c>
      <c r="G29" s="149">
        <f>PV!L30</f>
        <v>30.4</v>
      </c>
      <c r="H29" s="153">
        <f>Geothermal!H20</f>
        <v>69.780617883899993</v>
      </c>
      <c r="I29" s="153">
        <f t="shared" si="0"/>
        <v>1423.0186610985302</v>
      </c>
      <c r="J29" s="150">
        <f>'Cogeneration (CHP)'!J21</f>
        <v>2856.5875822224948</v>
      </c>
      <c r="K29" s="151">
        <f>F29+J29+G29+D29+E29+H29</f>
        <v>4279.6062433210245</v>
      </c>
      <c r="L29" s="152">
        <f>K29/C29*100</f>
        <v>162.73380852381624</v>
      </c>
      <c r="M29" s="152">
        <f>Hydro!K20</f>
        <v>2856.2741992093902</v>
      </c>
      <c r="N29" s="161">
        <v>21404.504400623799</v>
      </c>
      <c r="O29" s="144">
        <f>K29/N29</f>
        <v>0.19993951568419882</v>
      </c>
      <c r="P29" s="82">
        <f t="shared" si="4"/>
        <v>0.12286292411999777</v>
      </c>
      <c r="Q29" s="78"/>
      <c r="R29" s="78"/>
    </row>
    <row r="30" spans="2:18">
      <c r="B30" s="118">
        <v>2011</v>
      </c>
      <c r="C30" s="147">
        <f>Nuclear!H31</f>
        <v>2517.98</v>
      </c>
      <c r="D30" s="148">
        <f>Wind!G31</f>
        <v>440.1</v>
      </c>
      <c r="E30" s="149">
        <f>Hydro!F21</f>
        <v>627.19590419999997</v>
      </c>
      <c r="F30" s="149">
        <f>Biomass!I21</f>
        <v>409.766338440303</v>
      </c>
      <c r="G30" s="149">
        <f>PV!L31</f>
        <v>58.7</v>
      </c>
      <c r="H30" s="153">
        <f>Geothermal!H21</f>
        <v>72.202680076320007</v>
      </c>
      <c r="I30" s="153">
        <f>SUM(D30:H30)</f>
        <v>1607.9649227166228</v>
      </c>
      <c r="J30" s="150">
        <f>'Cogeneration (CHP)'!J22</f>
        <v>3098.636138965674</v>
      </c>
      <c r="K30" s="151">
        <f>F30+J30+G30+D30+E30+H30</f>
        <v>4706.6010616822969</v>
      </c>
      <c r="L30" s="152">
        <f>K30/C30*100</f>
        <v>186.91971587074946</v>
      </c>
      <c r="M30" s="152">
        <f>Hydro!K21</f>
        <v>2889.8641832414</v>
      </c>
      <c r="N30" s="161">
        <v>22050.9127457346</v>
      </c>
      <c r="O30" s="144">
        <f t="shared" ref="O30:O32" si="5">K30/N30</f>
        <v>0.21344245999942629</v>
      </c>
      <c r="P30" s="82">
        <f t="shared" si="4"/>
        <v>0.11418937751168887</v>
      </c>
      <c r="Q30" s="78"/>
      <c r="R30" s="78"/>
    </row>
    <row r="31" spans="2:18">
      <c r="B31" s="118">
        <v>2012</v>
      </c>
      <c r="C31" s="147">
        <f>Nuclear!H32</f>
        <v>2346.19</v>
      </c>
      <c r="D31" s="148">
        <f>Wind!G32</f>
        <v>521.29999999999995</v>
      </c>
      <c r="E31" s="149">
        <f>Hydro!F22</f>
        <v>642.69945180000002</v>
      </c>
      <c r="F31" s="149">
        <f>Biomass!I22</f>
        <v>435.025112316373</v>
      </c>
      <c r="G31" s="149">
        <f>PV!L32</f>
        <v>93</v>
      </c>
      <c r="H31" s="153">
        <f>Geothermal!H22</f>
        <v>74.802250832130014</v>
      </c>
      <c r="I31" s="153">
        <f t="shared" ref="I31:I32" si="6">SUM(D31:H31)</f>
        <v>1766.8268149485029</v>
      </c>
      <c r="J31" s="150">
        <f>'Cogeneration (CHP)'!J23</f>
        <v>3338.5516939298632</v>
      </c>
      <c r="K31" s="151">
        <f t="shared" ref="K31:K32" si="7">F31+J31+G31+D31+E31+H31</f>
        <v>5105.3785088783661</v>
      </c>
      <c r="L31" s="152">
        <f t="shared" ref="L31:L32" si="8">K31/C31*100</f>
        <v>217.60294387404113</v>
      </c>
      <c r="M31" s="152">
        <f>Hydro!K22</f>
        <v>3041.4320105276097</v>
      </c>
      <c r="N31" s="161">
        <v>22504.332537651098</v>
      </c>
      <c r="O31" s="144">
        <f t="shared" si="5"/>
        <v>0.22686202758232271</v>
      </c>
      <c r="P31" s="82">
        <f t="shared" si="4"/>
        <v>0.10425503605026647</v>
      </c>
      <c r="Q31" s="78"/>
      <c r="R31" s="78"/>
    </row>
    <row r="32" spans="2:18" ht="14" thickBot="1">
      <c r="B32" s="119">
        <v>2013</v>
      </c>
      <c r="C32" s="154">
        <v>2358.86</v>
      </c>
      <c r="D32" s="155">
        <f>Wind!G33</f>
        <v>628.20000000000005</v>
      </c>
      <c r="E32" s="156">
        <f>Hydro!F23</f>
        <v>657.8646318000001</v>
      </c>
      <c r="F32" s="156">
        <f>Biomass!I23</f>
        <v>461.8408848960234</v>
      </c>
      <c r="G32" s="156">
        <f>PV!L33</f>
        <v>124.8</v>
      </c>
      <c r="H32" s="401">
        <f>Geothermal!H23</f>
        <v>80.549789578199992</v>
      </c>
      <c r="I32" s="156">
        <f t="shared" si="6"/>
        <v>1953.2553062742236</v>
      </c>
      <c r="J32" s="402">
        <f>'Cogeneration (CHP)'!J24</f>
        <v>3589.1672344672543</v>
      </c>
      <c r="K32" s="157">
        <f t="shared" si="7"/>
        <v>5542.4225407414779</v>
      </c>
      <c r="L32" s="154">
        <f t="shared" si="8"/>
        <v>234.96191129365363</v>
      </c>
      <c r="M32" s="158">
        <f>Hydro!K23</f>
        <v>3124.1644989042898</v>
      </c>
      <c r="N32" s="159">
        <v>23127</v>
      </c>
      <c r="O32" s="145">
        <f t="shared" si="5"/>
        <v>0.23965159946129969</v>
      </c>
      <c r="P32" s="146">
        <f t="shared" si="4"/>
        <v>0.10199593548666062</v>
      </c>
      <c r="Q32" s="78"/>
      <c r="R32" s="78"/>
    </row>
    <row r="33" spans="2:18">
      <c r="B33" s="76"/>
      <c r="C33" s="71"/>
      <c r="D33" s="101"/>
      <c r="E33" s="71"/>
      <c r="F33" s="71"/>
      <c r="G33" s="71"/>
      <c r="H33" s="81"/>
      <c r="I33" s="81"/>
      <c r="J33" s="81"/>
      <c r="K33" s="75"/>
      <c r="L33" s="75"/>
      <c r="M33" s="102"/>
      <c r="N33" s="103"/>
      <c r="O33" s="104"/>
      <c r="P33" s="78"/>
      <c r="Q33" s="78"/>
      <c r="R33" s="78"/>
    </row>
    <row r="34" spans="2:18">
      <c r="B34" s="76"/>
      <c r="C34" s="71"/>
      <c r="D34" s="101"/>
      <c r="E34" s="71"/>
      <c r="F34" s="71"/>
      <c r="G34" s="71"/>
      <c r="H34" s="81"/>
      <c r="I34" s="81"/>
      <c r="J34" s="81"/>
      <c r="K34" s="75"/>
      <c r="L34" s="75"/>
      <c r="M34" s="102"/>
      <c r="N34" s="103"/>
      <c r="O34" s="104"/>
      <c r="P34" s="78"/>
      <c r="Q34" s="78"/>
      <c r="R34" s="78"/>
    </row>
    <row r="35" spans="2:18">
      <c r="B35" s="76"/>
      <c r="C35" s="71"/>
      <c r="D35" s="101"/>
      <c r="E35" s="71"/>
      <c r="F35" s="71"/>
      <c r="G35" s="71"/>
      <c r="H35" s="81"/>
      <c r="I35" s="81"/>
      <c r="J35" s="81"/>
      <c r="K35" s="75"/>
      <c r="L35" s="75"/>
      <c r="M35" s="102"/>
      <c r="N35" s="103"/>
      <c r="O35" s="104"/>
      <c r="P35" s="78"/>
      <c r="Q35" s="78"/>
      <c r="R35" s="78"/>
    </row>
    <row r="36" spans="2:18">
      <c r="B36" s="77"/>
      <c r="C36" s="71"/>
      <c r="D36" s="101"/>
      <c r="E36" s="71"/>
      <c r="F36" s="71"/>
      <c r="G36" s="71"/>
      <c r="H36" s="71"/>
      <c r="I36" s="71"/>
      <c r="J36" s="71"/>
      <c r="K36" s="71"/>
      <c r="L36" s="71"/>
      <c r="M36" s="134"/>
      <c r="N36" s="103"/>
      <c r="O36" s="135"/>
      <c r="P36" s="136"/>
      <c r="Q36" s="136"/>
      <c r="R36" s="78"/>
    </row>
    <row r="37" spans="2:18">
      <c r="B37" s="77"/>
      <c r="C37" s="71"/>
      <c r="D37" s="101"/>
      <c r="E37" s="71"/>
      <c r="F37" s="71"/>
      <c r="G37" s="71"/>
      <c r="H37" s="71"/>
      <c r="I37" s="71"/>
      <c r="J37" s="71"/>
      <c r="K37" s="71"/>
      <c r="L37" s="71"/>
      <c r="M37" s="134"/>
      <c r="N37" s="103"/>
      <c r="O37" s="135"/>
      <c r="P37" s="136"/>
      <c r="Q37" s="136"/>
      <c r="R37" s="78"/>
    </row>
    <row r="38" spans="2:18">
      <c r="B38" s="136"/>
      <c r="C38" s="136"/>
      <c r="D38" s="136"/>
      <c r="E38" s="136"/>
      <c r="F38" s="136"/>
      <c r="G38" s="136"/>
      <c r="H38" s="136"/>
      <c r="I38" s="136"/>
      <c r="J38" s="136"/>
      <c r="K38" s="136"/>
      <c r="L38" s="136"/>
      <c r="M38" s="136"/>
      <c r="N38" s="136"/>
      <c r="O38" s="136"/>
      <c r="P38" s="136"/>
      <c r="Q38" s="136"/>
      <c r="R38" s="78"/>
    </row>
    <row r="39" spans="2:18">
      <c r="B39" s="77"/>
      <c r="C39" s="136"/>
      <c r="D39" s="136"/>
      <c r="E39" s="77"/>
      <c r="F39" s="77"/>
      <c r="G39" s="478"/>
      <c r="H39" s="478"/>
      <c r="I39" s="77"/>
      <c r="J39" s="136"/>
      <c r="K39" s="77"/>
      <c r="L39" s="77"/>
      <c r="M39" s="77"/>
      <c r="N39" s="77"/>
      <c r="O39" s="77"/>
      <c r="P39" s="136"/>
      <c r="Q39" s="136"/>
    </row>
    <row r="40" spans="2:18">
      <c r="B40" s="77"/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136"/>
      <c r="Q40" s="136"/>
    </row>
    <row r="41" spans="2:18">
      <c r="B41" s="77"/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136"/>
      <c r="Q41" s="136"/>
    </row>
    <row r="42" spans="2:18"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136"/>
      <c r="P42" s="136"/>
      <c r="Q42" s="136"/>
    </row>
    <row r="43" spans="2:18">
      <c r="B43" s="77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141"/>
      <c r="N43" s="136"/>
      <c r="O43" s="136"/>
      <c r="P43" s="71"/>
      <c r="Q43" s="136"/>
    </row>
    <row r="44" spans="2:18">
      <c r="B44" s="77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141"/>
      <c r="N44" s="136"/>
      <c r="O44" s="136"/>
      <c r="P44" s="71"/>
      <c r="Q44" s="136"/>
    </row>
    <row r="45" spans="2:18">
      <c r="B45" s="136"/>
      <c r="C45" s="136"/>
      <c r="D45" s="136"/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</row>
    <row r="46" spans="2:18">
      <c r="B46" s="77"/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136"/>
      <c r="P46" s="71"/>
      <c r="Q46" s="136"/>
    </row>
    <row r="47" spans="2:18">
      <c r="B47" s="77"/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136"/>
      <c r="P47" s="71"/>
      <c r="Q47" s="136"/>
    </row>
    <row r="48" spans="2:18">
      <c r="B48" s="77"/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136"/>
      <c r="P48" s="71"/>
      <c r="Q48" s="136"/>
    </row>
    <row r="49" spans="2:17">
      <c r="B49" s="77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136"/>
      <c r="P49" s="71"/>
      <c r="Q49" s="136"/>
    </row>
    <row r="50" spans="2:17">
      <c r="B50" s="77"/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136"/>
      <c r="P50" s="71"/>
      <c r="Q50" s="136"/>
    </row>
    <row r="51" spans="2:17">
      <c r="B51" s="77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136"/>
      <c r="P51" s="71"/>
      <c r="Q51" s="136"/>
    </row>
    <row r="52" spans="2:17">
      <c r="B52" s="77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136"/>
      <c r="P52" s="71"/>
      <c r="Q52" s="136"/>
    </row>
    <row r="53" spans="2:17">
      <c r="B53" s="77"/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136"/>
      <c r="P53" s="71"/>
      <c r="Q53" s="136"/>
    </row>
    <row r="54" spans="2:17">
      <c r="B54" s="77"/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136"/>
      <c r="P54" s="71"/>
      <c r="Q54" s="136"/>
    </row>
    <row r="55" spans="2:17">
      <c r="B55" s="77"/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136"/>
      <c r="P55" s="71"/>
      <c r="Q55" s="136"/>
    </row>
    <row r="56" spans="2:17">
      <c r="B56" s="77"/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136"/>
      <c r="P56" s="71"/>
      <c r="Q56" s="136"/>
    </row>
    <row r="57" spans="2:17">
      <c r="B57" s="77"/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136"/>
      <c r="P57" s="71"/>
      <c r="Q57" s="136"/>
    </row>
    <row r="58" spans="2:17">
      <c r="B58" s="77"/>
      <c r="C58" s="71"/>
      <c r="D58" s="71"/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136"/>
      <c r="P58" s="71"/>
      <c r="Q58" s="136"/>
    </row>
    <row r="59" spans="2:17">
      <c r="B59" s="136"/>
      <c r="C59" s="136"/>
      <c r="D59" s="136"/>
      <c r="E59" s="136"/>
      <c r="F59" s="136"/>
      <c r="G59" s="136"/>
      <c r="H59" s="136"/>
      <c r="I59" s="136"/>
      <c r="J59" s="136"/>
      <c r="K59" s="136"/>
      <c r="L59" s="136"/>
      <c r="M59" s="136"/>
      <c r="N59" s="136"/>
      <c r="O59" s="136"/>
      <c r="P59" s="71"/>
      <c r="Q59" s="136"/>
    </row>
    <row r="60" spans="2:17">
      <c r="B60" s="77"/>
      <c r="C60" s="136"/>
      <c r="D60" s="136"/>
      <c r="E60" s="136"/>
      <c r="F60" s="136"/>
      <c r="G60" s="136"/>
      <c r="H60" s="136"/>
      <c r="I60" s="136"/>
      <c r="J60" s="136"/>
      <c r="K60" s="136"/>
      <c r="L60" s="136"/>
      <c r="M60" s="136"/>
      <c r="N60" s="136"/>
      <c r="O60" s="136"/>
      <c r="P60" s="136"/>
      <c r="Q60" s="136"/>
    </row>
    <row r="61" spans="2:17">
      <c r="B61" s="136"/>
      <c r="C61" s="136"/>
      <c r="D61" s="136"/>
      <c r="E61" s="136"/>
      <c r="F61" s="136"/>
      <c r="G61" s="136"/>
      <c r="H61" s="136"/>
      <c r="I61" s="136"/>
      <c r="J61" s="136"/>
      <c r="K61" s="136"/>
      <c r="L61" s="136"/>
      <c r="M61" s="136"/>
      <c r="N61" s="136"/>
      <c r="O61" s="136"/>
      <c r="P61" s="136"/>
      <c r="Q61" s="136"/>
    </row>
    <row r="62" spans="2:17" ht="14" thickBot="1">
      <c r="D62" s="137" t="s">
        <v>65</v>
      </c>
      <c r="E62" s="138"/>
      <c r="F62" s="139"/>
      <c r="G62" s="139"/>
      <c r="H62" s="139"/>
      <c r="I62" s="139"/>
      <c r="J62" s="139"/>
      <c r="K62" s="138"/>
      <c r="L62" s="138"/>
      <c r="M62" s="138"/>
      <c r="N62" s="138"/>
      <c r="O62" s="138"/>
      <c r="P62" s="140"/>
    </row>
    <row r="63" spans="2:17">
      <c r="D63" s="79"/>
      <c r="E63" s="85"/>
      <c r="F63" s="86"/>
      <c r="G63" s="86"/>
      <c r="H63" s="86"/>
      <c r="I63" s="86"/>
      <c r="J63" s="86"/>
      <c r="K63" s="87"/>
      <c r="L63" s="87"/>
      <c r="M63" s="87"/>
      <c r="N63" s="87"/>
      <c r="O63" s="70"/>
      <c r="P63" s="88"/>
    </row>
    <row r="64" spans="2:17">
      <c r="D64" s="80" t="s">
        <v>95</v>
      </c>
      <c r="E64" s="89" t="s">
        <v>15</v>
      </c>
      <c r="F64" s="90"/>
      <c r="G64" s="90"/>
      <c r="H64" s="90"/>
      <c r="I64" s="90"/>
      <c r="J64" s="90"/>
      <c r="K64" s="91"/>
      <c r="L64" s="91"/>
      <c r="M64" s="91"/>
      <c r="N64" s="91"/>
      <c r="O64" s="72"/>
      <c r="P64" s="92"/>
    </row>
    <row r="65" spans="4:16">
      <c r="D65" s="80"/>
      <c r="E65" s="89" t="s">
        <v>139</v>
      </c>
      <c r="F65" s="90"/>
      <c r="G65" s="90"/>
      <c r="H65" s="90"/>
      <c r="I65" s="90"/>
      <c r="J65" s="90"/>
      <c r="K65" s="91"/>
      <c r="L65" s="91"/>
      <c r="M65" s="91"/>
      <c r="N65" s="91"/>
      <c r="O65" s="72"/>
      <c r="P65" s="92"/>
    </row>
    <row r="66" spans="4:16">
      <c r="D66" s="80"/>
      <c r="E66" s="89"/>
      <c r="F66" s="90"/>
      <c r="G66" s="90"/>
      <c r="H66" s="90"/>
      <c r="I66" s="90"/>
      <c r="J66" s="90"/>
      <c r="K66" s="91"/>
      <c r="L66" s="91"/>
      <c r="M66" s="91"/>
      <c r="N66" s="91"/>
      <c r="O66" s="72"/>
      <c r="P66" s="92"/>
    </row>
    <row r="67" spans="4:16">
      <c r="D67" s="93" t="s">
        <v>97</v>
      </c>
      <c r="E67" s="89" t="s">
        <v>98</v>
      </c>
      <c r="F67" s="90"/>
      <c r="G67" s="90"/>
      <c r="H67" s="90"/>
      <c r="I67" s="90"/>
      <c r="J67" s="90"/>
      <c r="K67" s="91"/>
      <c r="L67" s="91"/>
      <c r="M67" s="91"/>
      <c r="N67" s="91"/>
      <c r="O67" s="72"/>
      <c r="P67" s="92"/>
    </row>
    <row r="68" spans="4:16">
      <c r="D68" s="93"/>
      <c r="E68" s="89" t="s">
        <v>139</v>
      </c>
      <c r="F68" s="90"/>
      <c r="G68" s="90"/>
      <c r="H68" s="90"/>
      <c r="I68" s="90"/>
      <c r="J68" s="90"/>
      <c r="K68" s="91"/>
      <c r="L68" s="91"/>
      <c r="M68" s="91"/>
      <c r="N68" s="91"/>
      <c r="O68" s="72"/>
      <c r="P68" s="92"/>
    </row>
    <row r="69" spans="4:16">
      <c r="D69" s="93"/>
      <c r="E69" s="94" t="s">
        <v>110</v>
      </c>
      <c r="F69" s="95"/>
      <c r="G69" s="95"/>
      <c r="H69" s="95"/>
      <c r="I69" s="95"/>
      <c r="J69" s="95"/>
      <c r="K69" s="96"/>
      <c r="L69" s="96"/>
      <c r="M69" s="96"/>
      <c r="N69" s="96"/>
      <c r="O69" s="97"/>
      <c r="P69" s="98"/>
    </row>
    <row r="70" spans="4:16">
      <c r="D70" s="99"/>
      <c r="E70" s="89"/>
      <c r="F70" s="90"/>
      <c r="G70" s="90"/>
      <c r="H70" s="90"/>
      <c r="I70" s="90"/>
      <c r="J70" s="90"/>
      <c r="K70" s="91"/>
      <c r="L70" s="91"/>
      <c r="M70" s="91"/>
      <c r="N70" s="91"/>
      <c r="O70" s="72"/>
      <c r="P70" s="92"/>
    </row>
    <row r="71" spans="4:16">
      <c r="D71" s="99"/>
      <c r="E71" s="79" t="s">
        <v>16</v>
      </c>
      <c r="F71" s="90"/>
      <c r="G71" s="90"/>
      <c r="H71" s="90"/>
      <c r="I71" s="90"/>
      <c r="J71" s="90"/>
      <c r="K71" s="91"/>
      <c r="L71" s="91"/>
      <c r="M71" s="91"/>
      <c r="N71" s="91"/>
      <c r="O71" s="72"/>
      <c r="P71" s="92"/>
    </row>
    <row r="72" spans="4:16" ht="14" thickBot="1">
      <c r="D72" s="83"/>
      <c r="E72" s="83"/>
      <c r="F72" s="100"/>
      <c r="G72" s="100"/>
      <c r="H72" s="100"/>
      <c r="I72" s="100"/>
      <c r="J72" s="100"/>
      <c r="K72" s="100"/>
      <c r="L72" s="100"/>
      <c r="M72" s="100"/>
      <c r="N72" s="100"/>
      <c r="O72" s="100"/>
      <c r="P72" s="84"/>
    </row>
  </sheetData>
  <mergeCells count="1">
    <mergeCell ref="G39:H39"/>
  </mergeCells>
  <phoneticPr fontId="7" type="noConversion"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8" tint="0.39997558519241921"/>
    <pageSetUpPr fitToPage="1"/>
  </sheetPr>
  <dimension ref="A2:K53"/>
  <sheetViews>
    <sheetView showGridLines="0" workbookViewId="0">
      <selection activeCell="K15" sqref="K15"/>
    </sheetView>
  </sheetViews>
  <sheetFormatPr baseColWidth="10" defaultColWidth="11" defaultRowHeight="13" x14ac:dyDescent="0"/>
  <cols>
    <col min="1" max="1" width="2.140625" style="69" customWidth="1"/>
    <col min="2" max="2" width="9.42578125" style="69" customWidth="1"/>
    <col min="3" max="3" width="10" style="69" customWidth="1"/>
    <col min="4" max="4" width="11" style="69"/>
    <col min="5" max="5" width="7.7109375" style="69" customWidth="1"/>
    <col min="6" max="6" width="10.5703125" style="69" customWidth="1"/>
    <col min="7" max="7" width="11.7109375" style="69" customWidth="1"/>
    <col min="8" max="8" width="14.5703125" style="69" customWidth="1"/>
    <col min="9" max="9" width="11.7109375" style="69" customWidth="1"/>
    <col min="10" max="10" width="8.5703125" style="69" customWidth="1"/>
    <col min="11" max="11" width="11.42578125" style="69" customWidth="1"/>
    <col min="12" max="16384" width="11" style="69"/>
  </cols>
  <sheetData>
    <row r="2" spans="2:10">
      <c r="B2" s="68" t="s">
        <v>196</v>
      </c>
    </row>
    <row r="3" spans="2:10" ht="14" thickBot="1">
      <c r="B3" s="68" t="s">
        <v>195</v>
      </c>
    </row>
    <row r="4" spans="2:10" ht="14" thickBot="1">
      <c r="B4" s="429"/>
      <c r="C4" s="68" t="s">
        <v>254</v>
      </c>
    </row>
    <row r="5" spans="2:10" ht="14" thickBot="1"/>
    <row r="6" spans="2:10" ht="14" thickBot="1">
      <c r="B6" s="479" t="s">
        <v>214</v>
      </c>
      <c r="C6" s="480"/>
      <c r="D6" s="480"/>
      <c r="E6" s="480"/>
      <c r="F6" s="480"/>
      <c r="G6" s="480"/>
      <c r="H6" s="480"/>
      <c r="I6" s="480"/>
      <c r="J6" s="481"/>
    </row>
    <row r="7" spans="2:10">
      <c r="B7" s="176"/>
      <c r="C7" s="308" t="s">
        <v>29</v>
      </c>
      <c r="D7" s="308"/>
      <c r="E7" s="308"/>
      <c r="F7" s="308" t="s">
        <v>248</v>
      </c>
      <c r="G7" s="306" t="s">
        <v>92</v>
      </c>
      <c r="H7" s="176" t="s">
        <v>145</v>
      </c>
      <c r="I7" s="176" t="s">
        <v>114</v>
      </c>
      <c r="J7" s="176" t="s">
        <v>151</v>
      </c>
    </row>
    <row r="8" spans="2:10">
      <c r="B8" s="177"/>
      <c r="C8" s="311" t="s">
        <v>28</v>
      </c>
      <c r="D8" s="311" t="s">
        <v>247</v>
      </c>
      <c r="E8" s="311" t="s">
        <v>113</v>
      </c>
      <c r="F8" s="311" t="s">
        <v>18</v>
      </c>
      <c r="G8" s="309" t="s">
        <v>43</v>
      </c>
      <c r="H8" s="177" t="s">
        <v>73</v>
      </c>
      <c r="I8" s="177" t="s">
        <v>73</v>
      </c>
      <c r="J8" s="177" t="s">
        <v>143</v>
      </c>
    </row>
    <row r="9" spans="2:10" ht="14" thickBot="1">
      <c r="B9" s="285"/>
      <c r="C9" s="314" t="s">
        <v>213</v>
      </c>
      <c r="D9" s="314" t="s">
        <v>213</v>
      </c>
      <c r="E9" s="314" t="s">
        <v>213</v>
      </c>
      <c r="F9" s="314" t="s">
        <v>213</v>
      </c>
      <c r="G9" s="312" t="s">
        <v>213</v>
      </c>
      <c r="H9" s="285" t="s">
        <v>170</v>
      </c>
      <c r="I9" s="285" t="s">
        <v>170</v>
      </c>
      <c r="J9" s="285" t="s">
        <v>144</v>
      </c>
    </row>
    <row r="10" spans="2:10">
      <c r="B10" s="74">
        <v>1990</v>
      </c>
      <c r="C10" s="403">
        <v>10543</v>
      </c>
      <c r="D10" s="404">
        <v>4978</v>
      </c>
      <c r="E10" s="404"/>
      <c r="F10" s="405">
        <f t="shared" ref="F10:F28" si="0">C10-D10</f>
        <v>5565</v>
      </c>
      <c r="G10" s="431">
        <f>323171</f>
        <v>323171</v>
      </c>
      <c r="H10" s="434">
        <v>1908.807090009667</v>
      </c>
      <c r="I10" s="79"/>
      <c r="J10" s="74"/>
    </row>
    <row r="11" spans="2:10">
      <c r="B11" s="74">
        <v>1991</v>
      </c>
      <c r="C11" s="403">
        <v>3678</v>
      </c>
      <c r="D11" s="404">
        <v>1809</v>
      </c>
      <c r="E11" s="404"/>
      <c r="F11" s="405">
        <f t="shared" si="0"/>
        <v>1869</v>
      </c>
      <c r="G11" s="431">
        <f t="shared" ref="G11:G14" si="1">G12-F12</f>
        <v>325040</v>
      </c>
      <c r="H11" s="434">
        <v>1996.1400900000001</v>
      </c>
      <c r="I11" s="79"/>
      <c r="J11" s="74"/>
    </row>
    <row r="12" spans="2:10">
      <c r="B12" s="74">
        <v>1992</v>
      </c>
      <c r="C12" s="403">
        <v>4809</v>
      </c>
      <c r="D12" s="404">
        <v>2046</v>
      </c>
      <c r="E12" s="404"/>
      <c r="F12" s="405">
        <f t="shared" si="0"/>
        <v>2763</v>
      </c>
      <c r="G12" s="431">
        <f t="shared" si="1"/>
        <v>327803</v>
      </c>
      <c r="H12" s="434">
        <v>2015.6030599999999</v>
      </c>
      <c r="I12" s="79"/>
      <c r="J12" s="74"/>
    </row>
    <row r="13" spans="2:10">
      <c r="B13" s="74">
        <v>1993</v>
      </c>
      <c r="C13" s="403">
        <v>9012</v>
      </c>
      <c r="D13" s="404">
        <v>0</v>
      </c>
      <c r="E13" s="404"/>
      <c r="F13" s="405">
        <f t="shared" si="0"/>
        <v>9012</v>
      </c>
      <c r="G13" s="431">
        <f t="shared" si="1"/>
        <v>336815</v>
      </c>
      <c r="H13" s="434">
        <v>2081.6272820000004</v>
      </c>
      <c r="I13" s="79"/>
      <c r="J13" s="74"/>
    </row>
    <row r="14" spans="2:10">
      <c r="B14" s="74">
        <v>1994</v>
      </c>
      <c r="C14" s="403">
        <v>4332</v>
      </c>
      <c r="D14" s="404">
        <v>1414</v>
      </c>
      <c r="E14" s="404"/>
      <c r="F14" s="405">
        <f t="shared" si="0"/>
        <v>2918</v>
      </c>
      <c r="G14" s="431">
        <f t="shared" si="1"/>
        <v>339733</v>
      </c>
      <c r="H14" s="434">
        <v>2125.160042</v>
      </c>
      <c r="I14" s="79"/>
      <c r="J14" s="74"/>
    </row>
    <row r="15" spans="2:10">
      <c r="B15" s="74">
        <v>1995</v>
      </c>
      <c r="C15" s="403">
        <v>3536</v>
      </c>
      <c r="D15" s="404">
        <v>769</v>
      </c>
      <c r="E15" s="404"/>
      <c r="F15" s="405">
        <f t="shared" si="0"/>
        <v>2767</v>
      </c>
      <c r="G15" s="432">
        <v>342500</v>
      </c>
      <c r="H15" s="435">
        <v>2190.94</v>
      </c>
      <c r="I15" s="207">
        <v>2210.0500000000002</v>
      </c>
      <c r="J15" s="144">
        <f t="shared" ref="J15:J33" si="2">I15*1000000/(8766*G15)</f>
        <v>0.73610549052327257</v>
      </c>
    </row>
    <row r="16" spans="2:10">
      <c r="B16" s="74">
        <v>1996</v>
      </c>
      <c r="C16" s="403">
        <v>7080</v>
      </c>
      <c r="D16" s="404">
        <v>1285</v>
      </c>
      <c r="E16" s="404"/>
      <c r="F16" s="405">
        <f t="shared" si="0"/>
        <v>5795</v>
      </c>
      <c r="G16" s="432">
        <v>348600</v>
      </c>
      <c r="H16" s="435">
        <v>2265.25</v>
      </c>
      <c r="I16" s="208">
        <v>2291.5300000000002</v>
      </c>
      <c r="J16" s="144">
        <f t="shared" si="2"/>
        <v>0.74988850810824537</v>
      </c>
    </row>
    <row r="17" spans="1:10">
      <c r="B17" s="74">
        <v>1997</v>
      </c>
      <c r="C17" s="403">
        <v>3570</v>
      </c>
      <c r="D17" s="404">
        <v>2781</v>
      </c>
      <c r="E17" s="404"/>
      <c r="F17" s="405">
        <f t="shared" si="0"/>
        <v>789</v>
      </c>
      <c r="G17" s="432">
        <v>351270</v>
      </c>
      <c r="H17" s="435">
        <v>2245.88</v>
      </c>
      <c r="I17" s="207">
        <v>2271.31</v>
      </c>
      <c r="J17" s="144">
        <f t="shared" si="2"/>
        <v>0.73762204184352642</v>
      </c>
    </row>
    <row r="18" spans="1:10">
      <c r="B18" s="74">
        <v>1998</v>
      </c>
      <c r="C18" s="403">
        <v>2952</v>
      </c>
      <c r="D18" s="404">
        <v>4080</v>
      </c>
      <c r="E18" s="404"/>
      <c r="F18" s="405">
        <f t="shared" si="0"/>
        <v>-1128</v>
      </c>
      <c r="G18" s="432">
        <v>351180</v>
      </c>
      <c r="H18" s="435">
        <v>2289.9299999999998</v>
      </c>
      <c r="I18" s="207">
        <v>2316.0100000000002</v>
      </c>
      <c r="J18" s="144">
        <f t="shared" si="2"/>
        <v>0.7523314019289512</v>
      </c>
    </row>
    <row r="19" spans="1:10">
      <c r="B19" s="74">
        <v>1999</v>
      </c>
      <c r="C19" s="403">
        <v>2704</v>
      </c>
      <c r="D19" s="404">
        <v>652</v>
      </c>
      <c r="E19" s="404"/>
      <c r="F19" s="405">
        <f t="shared" si="0"/>
        <v>2052</v>
      </c>
      <c r="G19" s="432">
        <v>348020</v>
      </c>
      <c r="H19" s="435">
        <v>2372.84</v>
      </c>
      <c r="I19" s="207">
        <v>2393.13</v>
      </c>
      <c r="J19" s="144">
        <f t="shared" si="2"/>
        <v>0.78444160946323072</v>
      </c>
    </row>
    <row r="20" spans="1:10">
      <c r="B20" s="74">
        <v>2000</v>
      </c>
      <c r="C20" s="403">
        <v>3063</v>
      </c>
      <c r="D20" s="404">
        <v>1395</v>
      </c>
      <c r="E20" s="404"/>
      <c r="F20" s="405">
        <f t="shared" si="0"/>
        <v>1668</v>
      </c>
      <c r="G20" s="432">
        <v>351390</v>
      </c>
      <c r="H20" s="435">
        <v>2440.92</v>
      </c>
      <c r="I20" s="207">
        <v>2449.89</v>
      </c>
      <c r="J20" s="144">
        <f t="shared" si="2"/>
        <v>0.79534530304493867</v>
      </c>
    </row>
    <row r="21" spans="1:10">
      <c r="B21" s="74">
        <v>2001</v>
      </c>
      <c r="C21" s="403">
        <v>2696</v>
      </c>
      <c r="D21" s="404">
        <v>0</v>
      </c>
      <c r="E21" s="404"/>
      <c r="F21" s="405">
        <f t="shared" si="0"/>
        <v>2696</v>
      </c>
      <c r="G21" s="432">
        <v>352730</v>
      </c>
      <c r="H21" s="435">
        <v>2506.66</v>
      </c>
      <c r="I21" s="207">
        <v>2516.89</v>
      </c>
      <c r="J21" s="144">
        <f t="shared" si="2"/>
        <v>0.81399243845917491</v>
      </c>
    </row>
    <row r="22" spans="1:10" s="72" customFormat="1">
      <c r="B22" s="74">
        <v>2002</v>
      </c>
      <c r="C22" s="403">
        <v>5022</v>
      </c>
      <c r="D22" s="404">
        <v>1067</v>
      </c>
      <c r="E22" s="404"/>
      <c r="F22" s="405">
        <f t="shared" si="0"/>
        <v>3955</v>
      </c>
      <c r="G22" s="432">
        <v>358560</v>
      </c>
      <c r="H22" s="435">
        <v>2549.31</v>
      </c>
      <c r="I22" s="207">
        <v>2545.62</v>
      </c>
      <c r="J22" s="144">
        <f t="shared" si="2"/>
        <v>0.809897892581811</v>
      </c>
    </row>
    <row r="23" spans="1:10" s="72" customFormat="1">
      <c r="B23" s="181">
        <v>2003</v>
      </c>
      <c r="C23" s="403">
        <v>1600</v>
      </c>
      <c r="D23" s="404">
        <v>988</v>
      </c>
      <c r="E23" s="404"/>
      <c r="F23" s="405">
        <f t="shared" si="0"/>
        <v>612</v>
      </c>
      <c r="G23" s="432">
        <v>360830</v>
      </c>
      <c r="H23" s="435">
        <v>2502.5</v>
      </c>
      <c r="I23" s="207">
        <v>2517.75</v>
      </c>
      <c r="J23" s="144">
        <f t="shared" si="2"/>
        <v>0.79599162801756229</v>
      </c>
    </row>
    <row r="24" spans="1:10">
      <c r="B24" s="74">
        <v>2004</v>
      </c>
      <c r="C24" s="403">
        <v>4785</v>
      </c>
      <c r="D24" s="404">
        <v>1385</v>
      </c>
      <c r="E24" s="404"/>
      <c r="F24" s="405">
        <f t="shared" si="0"/>
        <v>3400</v>
      </c>
      <c r="G24" s="432">
        <v>366060</v>
      </c>
      <c r="H24" s="435">
        <v>2616.2399999999998</v>
      </c>
      <c r="I24" s="207">
        <v>2617.3200000000002</v>
      </c>
      <c r="J24" s="144">
        <f t="shared" si="2"/>
        <v>0.81564857561790771</v>
      </c>
    </row>
    <row r="25" spans="1:10">
      <c r="A25" s="72"/>
      <c r="B25" s="74">
        <v>2005</v>
      </c>
      <c r="C25" s="403">
        <v>3823</v>
      </c>
      <c r="D25" s="404">
        <v>940</v>
      </c>
      <c r="E25" s="404"/>
      <c r="F25" s="405">
        <f t="shared" si="0"/>
        <v>2883</v>
      </c>
      <c r="G25" s="432">
        <v>369060</v>
      </c>
      <c r="H25" s="435">
        <v>2626.34</v>
      </c>
      <c r="I25" s="207">
        <v>2639.24</v>
      </c>
      <c r="J25" s="144">
        <f t="shared" si="2"/>
        <v>0.81579387627017819</v>
      </c>
    </row>
    <row r="26" spans="1:10">
      <c r="A26" s="72"/>
      <c r="B26" s="182">
        <v>2006</v>
      </c>
      <c r="C26" s="403">
        <v>1492</v>
      </c>
      <c r="D26" s="404">
        <v>2236</v>
      </c>
      <c r="E26" s="404"/>
      <c r="F26" s="405">
        <f t="shared" si="0"/>
        <v>-744</v>
      </c>
      <c r="G26" s="432">
        <v>371820</v>
      </c>
      <c r="H26" s="435">
        <v>2660.85</v>
      </c>
      <c r="I26" s="207">
        <v>2659.83</v>
      </c>
      <c r="J26" s="144">
        <f t="shared" si="2"/>
        <v>0.81605544563874732</v>
      </c>
    </row>
    <row r="27" spans="1:10">
      <c r="A27" s="72"/>
      <c r="B27" s="182">
        <v>2007</v>
      </c>
      <c r="C27" s="403">
        <v>1842</v>
      </c>
      <c r="D27" s="404">
        <v>0</v>
      </c>
      <c r="E27" s="404"/>
      <c r="F27" s="405">
        <f t="shared" si="0"/>
        <v>1842</v>
      </c>
      <c r="G27" s="432">
        <v>371710</v>
      </c>
      <c r="H27" s="435">
        <v>2608.1799999999998</v>
      </c>
      <c r="I27" s="207">
        <v>2597.6999999999998</v>
      </c>
      <c r="J27" s="144">
        <f t="shared" si="2"/>
        <v>0.79722935775795867</v>
      </c>
    </row>
    <row r="28" spans="1:10">
      <c r="B28" s="182">
        <v>2008</v>
      </c>
      <c r="C28" s="403">
        <v>0</v>
      </c>
      <c r="D28" s="404">
        <v>408</v>
      </c>
      <c r="E28" s="404"/>
      <c r="F28" s="405">
        <f t="shared" si="0"/>
        <v>-408</v>
      </c>
      <c r="G28" s="432">
        <v>371960</v>
      </c>
      <c r="H28" s="435">
        <v>2597.81</v>
      </c>
      <c r="I28" s="207">
        <v>2602.65</v>
      </c>
      <c r="J28" s="144">
        <f t="shared" si="2"/>
        <v>0.79821165258914084</v>
      </c>
    </row>
    <row r="29" spans="1:10">
      <c r="B29" s="182">
        <v>2009</v>
      </c>
      <c r="C29" s="403">
        <v>1068</v>
      </c>
      <c r="D29" s="404">
        <v>2506</v>
      </c>
      <c r="E29" s="404">
        <v>645</v>
      </c>
      <c r="F29" s="405">
        <f>C29-D29+E29</f>
        <v>-793</v>
      </c>
      <c r="G29" s="432">
        <v>373210</v>
      </c>
      <c r="H29" s="435">
        <v>2558.06</v>
      </c>
      <c r="I29" s="207">
        <v>2568.41</v>
      </c>
      <c r="J29" s="144">
        <f t="shared" si="2"/>
        <v>0.78507222700556889</v>
      </c>
    </row>
    <row r="30" spans="1:10">
      <c r="B30" s="182">
        <v>2010</v>
      </c>
      <c r="C30" s="403">
        <v>3779</v>
      </c>
      <c r="D30" s="404">
        <v>130</v>
      </c>
      <c r="E30" s="404">
        <v>926</v>
      </c>
      <c r="F30" s="405">
        <f>C30-D30+E30</f>
        <v>4575</v>
      </c>
      <c r="G30" s="432">
        <v>375410</v>
      </c>
      <c r="H30" s="435">
        <v>2629.82</v>
      </c>
      <c r="I30" s="207">
        <v>2620.2199999999998</v>
      </c>
      <c r="J30" s="144">
        <f t="shared" si="2"/>
        <v>0.79621518134165248</v>
      </c>
    </row>
    <row r="31" spans="1:10">
      <c r="B31" s="182">
        <v>2011</v>
      </c>
      <c r="C31" s="403">
        <v>4004</v>
      </c>
      <c r="D31" s="404">
        <v>11358</v>
      </c>
      <c r="E31" s="404">
        <v>1005</v>
      </c>
      <c r="F31" s="405">
        <f>G32-G31</f>
        <v>-5680</v>
      </c>
      <c r="G31" s="432">
        <v>380280</v>
      </c>
      <c r="H31" s="435">
        <v>2517.98</v>
      </c>
      <c r="I31" s="207">
        <v>2507.2199999999998</v>
      </c>
      <c r="J31" s="144">
        <f t="shared" si="2"/>
        <v>0.7521206140336667</v>
      </c>
    </row>
    <row r="32" spans="1:10" ht="14" customHeight="1">
      <c r="B32" s="182">
        <v>2012</v>
      </c>
      <c r="C32" s="403">
        <v>2918</v>
      </c>
      <c r="D32" s="404">
        <v>1342</v>
      </c>
      <c r="E32" s="404">
        <v>952</v>
      </c>
      <c r="F32" s="405">
        <v>-7361</v>
      </c>
      <c r="G32" s="432">
        <v>374600</v>
      </c>
      <c r="H32" s="435">
        <v>2346.19</v>
      </c>
      <c r="I32" s="207">
        <v>2346.19</v>
      </c>
      <c r="J32" s="144">
        <f t="shared" si="2"/>
        <v>0.71448635636472957</v>
      </c>
    </row>
    <row r="33" spans="2:11" ht="14" thickBot="1">
      <c r="B33" s="183">
        <v>2013</v>
      </c>
      <c r="C33" s="406">
        <v>3986</v>
      </c>
      <c r="D33" s="407">
        <v>3576</v>
      </c>
      <c r="E33" s="407">
        <v>341</v>
      </c>
      <c r="F33" s="408">
        <f>G33-G32</f>
        <v>3040</v>
      </c>
      <c r="G33" s="433">
        <v>377640</v>
      </c>
      <c r="H33" s="436">
        <v>2358.86</v>
      </c>
      <c r="I33" s="209">
        <v>2358.86</v>
      </c>
      <c r="J33" s="145">
        <f t="shared" si="2"/>
        <v>0.71256208599618998</v>
      </c>
    </row>
    <row r="34" spans="2:11">
      <c r="B34" s="72"/>
      <c r="C34" s="174"/>
      <c r="D34" s="174"/>
      <c r="E34" s="78"/>
      <c r="F34" s="184"/>
      <c r="G34" s="184"/>
      <c r="H34" s="185"/>
      <c r="I34" s="185"/>
      <c r="J34" s="78"/>
    </row>
    <row r="35" spans="2:11">
      <c r="B35" s="68" t="s">
        <v>253</v>
      </c>
      <c r="C35" s="78"/>
      <c r="D35" s="78"/>
      <c r="E35" s="78"/>
      <c r="F35" s="78"/>
      <c r="G35" s="78"/>
      <c r="H35" s="78"/>
      <c r="I35" s="78"/>
      <c r="J35" s="78"/>
      <c r="K35" s="78"/>
    </row>
    <row r="36" spans="2:11" ht="14" thickBot="1">
      <c r="C36" s="78"/>
      <c r="D36" s="78"/>
      <c r="E36" s="78"/>
      <c r="F36" s="78"/>
      <c r="G36" s="78"/>
      <c r="H36" s="78"/>
      <c r="I36" s="78"/>
      <c r="J36" s="78"/>
      <c r="K36" s="78"/>
    </row>
    <row r="37" spans="2:11" ht="14" thickBot="1">
      <c r="B37" s="273" t="s">
        <v>65</v>
      </c>
      <c r="C37" s="187"/>
      <c r="D37" s="188"/>
      <c r="E37" s="188"/>
      <c r="F37" s="188"/>
      <c r="G37" s="188"/>
      <c r="H37" s="188"/>
      <c r="I37" s="187"/>
      <c r="J37" s="189"/>
    </row>
    <row r="38" spans="2:11" ht="13" customHeight="1">
      <c r="B38" s="179"/>
      <c r="C38" s="85"/>
      <c r="D38" s="86"/>
      <c r="E38" s="86"/>
      <c r="F38" s="86"/>
      <c r="G38" s="86"/>
      <c r="H38" s="86"/>
      <c r="I38" s="87"/>
      <c r="J38" s="88"/>
    </row>
    <row r="39" spans="2:11">
      <c r="B39" s="190" t="s">
        <v>43</v>
      </c>
      <c r="C39" s="191" t="s">
        <v>193</v>
      </c>
      <c r="D39" s="192"/>
      <c r="E39" s="192"/>
      <c r="F39" s="192"/>
      <c r="G39" s="192"/>
      <c r="H39" s="192"/>
      <c r="I39" s="193"/>
      <c r="J39" s="194"/>
    </row>
    <row r="40" spans="2:11">
      <c r="B40" s="190"/>
      <c r="C40" s="195" t="s">
        <v>194</v>
      </c>
      <c r="D40" s="192"/>
      <c r="E40" s="192"/>
      <c r="F40" s="192"/>
      <c r="G40" s="192"/>
      <c r="H40" s="192"/>
      <c r="I40" s="193"/>
      <c r="J40" s="194"/>
    </row>
    <row r="41" spans="2:11">
      <c r="B41" s="74"/>
      <c r="C41" s="79"/>
      <c r="D41" s="72"/>
      <c r="E41" s="72"/>
      <c r="F41" s="72"/>
      <c r="G41" s="72"/>
      <c r="H41" s="72"/>
      <c r="I41" s="72"/>
      <c r="J41" s="73"/>
    </row>
    <row r="42" spans="2:11">
      <c r="B42" s="196" t="s">
        <v>43</v>
      </c>
      <c r="C42" s="197" t="s">
        <v>101</v>
      </c>
      <c r="D42" s="198"/>
      <c r="E42" s="72"/>
      <c r="F42" s="72"/>
      <c r="G42" s="72"/>
      <c r="H42" s="72"/>
      <c r="I42" s="72"/>
      <c r="J42" s="73"/>
    </row>
    <row r="43" spans="2:11">
      <c r="B43" s="74"/>
      <c r="C43" s="204" t="s">
        <v>197</v>
      </c>
      <c r="D43" s="198"/>
      <c r="E43" s="72"/>
      <c r="F43" s="72"/>
      <c r="G43" s="72"/>
      <c r="H43" s="72"/>
      <c r="I43" s="72"/>
      <c r="J43" s="73"/>
    </row>
    <row r="44" spans="2:11">
      <c r="B44" s="74"/>
      <c r="C44" s="204" t="s">
        <v>198</v>
      </c>
      <c r="D44" s="198"/>
      <c r="E44" s="72"/>
      <c r="F44" s="72"/>
      <c r="G44" s="72"/>
      <c r="H44" s="72"/>
      <c r="I44" s="72"/>
      <c r="J44" s="73"/>
    </row>
    <row r="45" spans="2:11">
      <c r="B45" s="199"/>
      <c r="C45" s="79"/>
      <c r="D45" s="90"/>
      <c r="E45" s="90"/>
      <c r="F45" s="90"/>
      <c r="G45" s="90"/>
      <c r="H45" s="90"/>
      <c r="I45" s="91"/>
      <c r="J45" s="92"/>
    </row>
    <row r="46" spans="2:11">
      <c r="B46" s="200" t="s">
        <v>203</v>
      </c>
      <c r="C46" s="89" t="s">
        <v>34</v>
      </c>
      <c r="D46" s="201"/>
      <c r="E46" s="136"/>
      <c r="F46" s="136"/>
      <c r="G46" s="136"/>
      <c r="H46" s="136"/>
      <c r="I46" s="136"/>
      <c r="J46" s="73"/>
    </row>
    <row r="47" spans="2:11">
      <c r="B47" s="200"/>
      <c r="C47" s="205" t="s">
        <v>103</v>
      </c>
      <c r="D47" s="201"/>
      <c r="E47" s="136"/>
      <c r="F47" s="136"/>
      <c r="G47" s="136"/>
      <c r="H47" s="136"/>
      <c r="I47" s="136"/>
      <c r="J47" s="73"/>
    </row>
    <row r="48" spans="2:11">
      <c r="B48" s="200"/>
      <c r="C48" s="89"/>
      <c r="D48" s="201"/>
      <c r="E48" s="136"/>
      <c r="F48" s="136"/>
      <c r="G48" s="136"/>
      <c r="H48" s="136"/>
      <c r="I48" s="136"/>
      <c r="J48" s="73"/>
    </row>
    <row r="49" spans="2:10">
      <c r="B49" s="203" t="s">
        <v>203</v>
      </c>
      <c r="C49" s="89" t="s">
        <v>199</v>
      </c>
      <c r="D49" s="201"/>
      <c r="E49" s="136"/>
      <c r="F49" s="136"/>
      <c r="G49" s="136"/>
      <c r="H49" s="136"/>
      <c r="I49" s="136"/>
      <c r="J49" s="73"/>
    </row>
    <row r="50" spans="2:10">
      <c r="B50" s="200"/>
      <c r="C50" s="205" t="s">
        <v>200</v>
      </c>
      <c r="D50" s="201"/>
      <c r="E50" s="136"/>
      <c r="F50" s="136"/>
      <c r="G50" s="136"/>
      <c r="H50" s="136"/>
      <c r="I50" s="136"/>
      <c r="J50" s="73"/>
    </row>
    <row r="51" spans="2:10" ht="14" thickBot="1">
      <c r="B51" s="202"/>
      <c r="C51" s="206"/>
      <c r="D51" s="100"/>
      <c r="E51" s="100"/>
      <c r="F51" s="100"/>
      <c r="G51" s="100"/>
      <c r="H51" s="100"/>
      <c r="I51" s="100"/>
      <c r="J51" s="84"/>
    </row>
    <row r="52" spans="2:10">
      <c r="C52" s="72"/>
      <c r="D52" s="72"/>
      <c r="E52" s="72"/>
      <c r="F52" s="72"/>
      <c r="G52" s="72"/>
    </row>
    <row r="53" spans="2:10">
      <c r="C53" s="72"/>
      <c r="D53" s="72"/>
      <c r="E53" s="72"/>
      <c r="F53" s="72"/>
      <c r="G53" s="72"/>
    </row>
  </sheetData>
  <mergeCells count="1">
    <mergeCell ref="B6:J6"/>
  </mergeCells>
  <phoneticPr fontId="7"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40"/>
  <sheetViews>
    <sheetView showGridLines="0" topLeftCell="B1" workbookViewId="0">
      <selection activeCell="G25" sqref="G25"/>
    </sheetView>
  </sheetViews>
  <sheetFormatPr baseColWidth="10" defaultRowHeight="13" x14ac:dyDescent="0"/>
  <cols>
    <col min="1" max="1" width="10.7109375" style="22"/>
    <col min="2" max="2" width="10.7109375" style="26"/>
    <col min="3" max="4" width="10.7109375" style="22"/>
    <col min="5" max="5" width="10.28515625" style="22" customWidth="1"/>
    <col min="6" max="16384" width="10.7109375" style="22"/>
  </cols>
  <sheetData>
    <row r="1" spans="3:17" ht="14" thickBot="1"/>
    <row r="2" spans="3:17" s="24" customFormat="1" ht="53" thickBot="1">
      <c r="C2" s="30" t="s">
        <v>46</v>
      </c>
      <c r="D2" s="29" t="s">
        <v>45</v>
      </c>
      <c r="E2" s="29" t="s">
        <v>93</v>
      </c>
      <c r="F2" s="29" t="s">
        <v>94</v>
      </c>
      <c r="G2" s="29" t="s">
        <v>59</v>
      </c>
      <c r="H2" s="29" t="s">
        <v>60</v>
      </c>
      <c r="I2" s="29" t="s">
        <v>61</v>
      </c>
      <c r="J2" s="29" t="s">
        <v>62</v>
      </c>
      <c r="K2" s="30" t="s">
        <v>63</v>
      </c>
    </row>
    <row r="3" spans="3:17">
      <c r="C3" s="8">
        <v>2010</v>
      </c>
      <c r="D3" s="2">
        <v>851</v>
      </c>
      <c r="E3" s="27">
        <v>135</v>
      </c>
      <c r="F3" s="1"/>
      <c r="G3" s="27">
        <v>280</v>
      </c>
      <c r="H3" s="1"/>
      <c r="I3" s="1"/>
      <c r="J3" s="1"/>
      <c r="K3" s="8">
        <f>SUM(D3:J3)</f>
        <v>1266</v>
      </c>
    </row>
    <row r="4" spans="3:17">
      <c r="C4" s="8">
        <v>2011</v>
      </c>
      <c r="D4" s="2">
        <v>730</v>
      </c>
      <c r="E4" s="1"/>
      <c r="F4" s="27">
        <v>260</v>
      </c>
      <c r="G4" s="1"/>
      <c r="H4" s="27">
        <v>707</v>
      </c>
      <c r="I4" s="1"/>
      <c r="J4" s="1"/>
      <c r="K4" s="8">
        <f t="shared" ref="K4:K9" si="0">SUM(D4:J4)</f>
        <v>1697</v>
      </c>
      <c r="L4" s="51" t="s">
        <v>108</v>
      </c>
      <c r="M4" s="51"/>
      <c r="N4" s="51"/>
      <c r="O4" s="51"/>
      <c r="P4" s="51"/>
      <c r="Q4" s="51"/>
    </row>
    <row r="5" spans="3:17">
      <c r="C5" s="47">
        <v>2012</v>
      </c>
      <c r="D5" s="48">
        <v>643</v>
      </c>
      <c r="E5" s="49"/>
      <c r="F5" s="49"/>
      <c r="G5" s="49"/>
      <c r="H5" s="49"/>
      <c r="I5" s="49"/>
      <c r="J5" s="49"/>
      <c r="K5" s="8">
        <f t="shared" si="0"/>
        <v>643</v>
      </c>
      <c r="L5" s="51" t="s">
        <v>107</v>
      </c>
      <c r="M5" s="51"/>
      <c r="N5" s="51"/>
      <c r="O5" s="51"/>
      <c r="P5" s="51"/>
      <c r="Q5" s="51"/>
    </row>
    <row r="6" spans="3:17">
      <c r="C6" s="47">
        <v>2013</v>
      </c>
      <c r="D6" s="48">
        <v>101</v>
      </c>
      <c r="E6" s="49"/>
      <c r="F6" s="49"/>
      <c r="G6" s="49"/>
      <c r="H6" s="49"/>
      <c r="I6" s="49"/>
      <c r="J6" s="49"/>
      <c r="K6" s="8">
        <f t="shared" si="0"/>
        <v>101</v>
      </c>
    </row>
    <row r="7" spans="3:17">
      <c r="C7" s="50">
        <v>2014</v>
      </c>
      <c r="D7" s="48">
        <v>0</v>
      </c>
      <c r="E7" s="49"/>
      <c r="F7" s="49"/>
      <c r="G7" s="49"/>
      <c r="H7" s="49"/>
      <c r="I7" s="49"/>
      <c r="J7" s="49"/>
      <c r="K7" s="8">
        <f t="shared" si="0"/>
        <v>0</v>
      </c>
    </row>
    <row r="8" spans="3:17">
      <c r="C8" s="50">
        <v>2015</v>
      </c>
      <c r="D8" s="48">
        <v>310</v>
      </c>
      <c r="E8" s="49"/>
      <c r="F8" s="49"/>
      <c r="G8" s="49"/>
      <c r="H8" s="49"/>
      <c r="I8" s="49"/>
      <c r="J8" s="49"/>
      <c r="K8" s="8">
        <f t="shared" si="0"/>
        <v>310</v>
      </c>
    </row>
    <row r="9" spans="3:17" ht="14" thickBot="1">
      <c r="C9" s="50">
        <v>2016</v>
      </c>
      <c r="D9" s="48">
        <v>145</v>
      </c>
      <c r="E9" s="49"/>
      <c r="F9" s="49"/>
      <c r="G9" s="49"/>
      <c r="H9" s="49"/>
      <c r="I9" s="49"/>
      <c r="J9" s="49"/>
      <c r="K9" s="8">
        <f t="shared" si="0"/>
        <v>145</v>
      </c>
    </row>
    <row r="10" spans="3:17" ht="14" thickBot="1">
      <c r="C10" s="40" t="s">
        <v>68</v>
      </c>
      <c r="D10" s="43"/>
      <c r="E10" s="39"/>
      <c r="F10" s="39"/>
      <c r="G10" s="39"/>
      <c r="H10" s="39"/>
      <c r="I10" s="39"/>
      <c r="J10" s="44"/>
      <c r="K10" s="40"/>
    </row>
    <row r="13" spans="3:17" ht="14" thickBot="1"/>
    <row r="14" spans="3:17" ht="14" thickBot="1">
      <c r="C14" s="10" t="s">
        <v>65</v>
      </c>
      <c r="D14" s="31"/>
      <c r="E14" s="31"/>
      <c r="F14" s="31"/>
      <c r="G14" s="31"/>
      <c r="H14" s="31"/>
      <c r="I14" s="31"/>
      <c r="J14" s="32"/>
      <c r="K14" s="32"/>
      <c r="L14" s="32"/>
      <c r="M14" s="33"/>
    </row>
    <row r="15" spans="3:17">
      <c r="C15" s="45" t="s">
        <v>21</v>
      </c>
      <c r="D15" s="46" t="s">
        <v>19</v>
      </c>
      <c r="E15" s="38"/>
      <c r="F15" s="38"/>
      <c r="G15" s="38"/>
      <c r="H15" s="38"/>
      <c r="I15" s="38"/>
      <c r="J15" s="34"/>
      <c r="K15" s="34"/>
      <c r="L15" s="34"/>
      <c r="M15" s="35"/>
    </row>
    <row r="16" spans="3:17">
      <c r="C16" s="36"/>
      <c r="D16" s="37" t="s">
        <v>20</v>
      </c>
      <c r="E16" s="38"/>
      <c r="F16" s="38"/>
      <c r="G16" s="38"/>
      <c r="H16" s="38"/>
      <c r="I16" s="38"/>
      <c r="J16" s="34"/>
      <c r="K16" s="34"/>
      <c r="L16" s="34"/>
      <c r="M16" s="35"/>
    </row>
    <row r="17" spans="2:13">
      <c r="C17" s="4"/>
      <c r="D17" s="17"/>
      <c r="E17" s="16"/>
      <c r="F17" s="9"/>
      <c r="G17" s="9"/>
      <c r="H17" s="9"/>
      <c r="I17" s="9"/>
      <c r="J17" s="1"/>
      <c r="K17" s="1"/>
      <c r="L17" s="1"/>
      <c r="M17" s="3"/>
    </row>
    <row r="18" spans="2:13">
      <c r="C18" s="42" t="s">
        <v>21</v>
      </c>
      <c r="D18" s="28" t="s">
        <v>102</v>
      </c>
      <c r="E18" s="16"/>
      <c r="F18" s="9"/>
      <c r="G18" s="9"/>
      <c r="H18" s="9"/>
      <c r="I18" s="9"/>
      <c r="J18" s="1"/>
      <c r="K18" s="1"/>
      <c r="L18" s="1"/>
      <c r="M18" s="3"/>
    </row>
    <row r="19" spans="2:13">
      <c r="C19" s="4"/>
      <c r="D19" s="28" t="s">
        <v>22</v>
      </c>
      <c r="E19" s="21"/>
      <c r="F19" s="15"/>
      <c r="G19" s="15"/>
      <c r="H19" s="15"/>
      <c r="I19" s="9"/>
      <c r="J19" s="1"/>
      <c r="K19" s="1"/>
      <c r="L19" s="1"/>
      <c r="M19" s="3"/>
    </row>
    <row r="20" spans="2:13" ht="14" thickBot="1">
      <c r="C20" s="5"/>
      <c r="D20" s="5"/>
      <c r="E20" s="6"/>
      <c r="F20" s="6"/>
      <c r="G20" s="6"/>
      <c r="H20" s="6"/>
      <c r="I20" s="6"/>
      <c r="J20" s="6"/>
      <c r="K20" s="6"/>
      <c r="L20" s="6"/>
      <c r="M20" s="7"/>
    </row>
    <row r="30" spans="2:13">
      <c r="B30" s="22"/>
    </row>
    <row r="31" spans="2:13">
      <c r="B31" s="22"/>
    </row>
    <row r="32" spans="2:13">
      <c r="B32" s="22"/>
    </row>
    <row r="33" spans="2:2">
      <c r="B33" s="22"/>
    </row>
    <row r="34" spans="2:2">
      <c r="B34" s="22"/>
    </row>
    <row r="35" spans="2:2">
      <c r="B35" s="22"/>
    </row>
    <row r="36" spans="2:2" s="26" customFormat="1"/>
    <row r="37" spans="2:2" s="26" customFormat="1"/>
    <row r="38" spans="2:2" s="26" customFormat="1"/>
    <row r="39" spans="2:2">
      <c r="B39" s="22"/>
    </row>
    <row r="40" spans="2:2">
      <c r="B40" s="22"/>
    </row>
  </sheetData>
  <phoneticPr fontId="7" type="noConversion"/>
  <hyperlinks>
    <hyperlink ref="D19" r:id="rId1"/>
  </hyperlinks>
  <pageMargins left="0.75" right="0.75" top="1" bottom="1" header="0.5" footer="0.5"/>
  <ignoredErrors>
    <ignoredError sqref="K3" formulaRange="1" emptyCellReference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8" tint="0.39997558519241921"/>
    <pageSetUpPr fitToPage="1"/>
  </sheetPr>
  <dimension ref="B2:N58"/>
  <sheetViews>
    <sheetView showGridLines="0" topLeftCell="A6" workbookViewId="0">
      <selection activeCell="H22" sqref="H22"/>
    </sheetView>
  </sheetViews>
  <sheetFormatPr baseColWidth="10" defaultColWidth="11" defaultRowHeight="13" x14ac:dyDescent="0"/>
  <cols>
    <col min="1" max="1" width="2.28515625" style="69" customWidth="1"/>
    <col min="2" max="2" width="8.5703125" style="69" customWidth="1"/>
    <col min="3" max="3" width="7.7109375" style="69" customWidth="1"/>
    <col min="4" max="4" width="8.85546875" style="69" customWidth="1"/>
    <col min="5" max="5" width="7" style="69" customWidth="1"/>
    <col min="6" max="6" width="12" style="69" customWidth="1"/>
    <col min="7" max="7" width="10.140625" style="69" customWidth="1"/>
    <col min="8" max="8" width="10.28515625" style="69" customWidth="1"/>
    <col min="9" max="9" width="9.140625" style="69" customWidth="1"/>
    <col min="10" max="10" width="33.140625" style="69" customWidth="1"/>
    <col min="11" max="11" width="11" style="69"/>
    <col min="12" max="12" width="11.140625" style="69" customWidth="1"/>
    <col min="13" max="16384" width="11" style="69"/>
  </cols>
  <sheetData>
    <row r="2" spans="2:10">
      <c r="B2" s="68" t="s">
        <v>206</v>
      </c>
    </row>
    <row r="3" spans="2:10" ht="14" thickBot="1">
      <c r="B3" s="68" t="s">
        <v>195</v>
      </c>
    </row>
    <row r="4" spans="2:10" ht="14" thickBot="1">
      <c r="B4" s="429"/>
      <c r="C4" s="68" t="s">
        <v>254</v>
      </c>
    </row>
    <row r="5" spans="2:10" ht="14" thickBot="1">
      <c r="B5" s="68"/>
    </row>
    <row r="6" spans="2:10" ht="14" thickBot="1">
      <c r="B6" s="479" t="s">
        <v>215</v>
      </c>
      <c r="C6" s="480"/>
      <c r="D6" s="480"/>
      <c r="E6" s="480"/>
      <c r="F6" s="480"/>
      <c r="G6" s="480"/>
      <c r="H6" s="480"/>
      <c r="I6" s="481"/>
    </row>
    <row r="7" spans="2:10">
      <c r="B7" s="306"/>
      <c r="C7" s="306" t="s">
        <v>11</v>
      </c>
      <c r="D7" s="308" t="s">
        <v>92</v>
      </c>
      <c r="E7" s="306" t="s">
        <v>152</v>
      </c>
      <c r="F7" s="307" t="s">
        <v>154</v>
      </c>
      <c r="G7" s="308" t="s">
        <v>114</v>
      </c>
      <c r="H7" s="176" t="s">
        <v>115</v>
      </c>
      <c r="I7" s="176" t="s">
        <v>151</v>
      </c>
    </row>
    <row r="8" spans="2:10">
      <c r="B8" s="309"/>
      <c r="C8" s="309" t="s">
        <v>43</v>
      </c>
      <c r="D8" s="311" t="s">
        <v>43</v>
      </c>
      <c r="E8" s="309" t="s">
        <v>153</v>
      </c>
      <c r="F8" s="310" t="s">
        <v>73</v>
      </c>
      <c r="G8" s="311" t="s">
        <v>73</v>
      </c>
      <c r="H8" s="177" t="s">
        <v>73</v>
      </c>
      <c r="I8" s="177" t="s">
        <v>143</v>
      </c>
    </row>
    <row r="9" spans="2:10" ht="14" thickBot="1">
      <c r="B9" s="309"/>
      <c r="C9" s="309" t="s">
        <v>213</v>
      </c>
      <c r="D9" s="311" t="s">
        <v>213</v>
      </c>
      <c r="E9" s="312"/>
      <c r="F9" s="313" t="s">
        <v>170</v>
      </c>
      <c r="G9" s="314" t="s">
        <v>170</v>
      </c>
      <c r="H9" s="285" t="s">
        <v>170</v>
      </c>
      <c r="I9" s="285" t="s">
        <v>144</v>
      </c>
    </row>
    <row r="10" spans="2:10">
      <c r="B10" s="179">
        <v>1990</v>
      </c>
      <c r="C10" s="211"/>
      <c r="D10" s="440">
        <v>1743</v>
      </c>
      <c r="E10" s="297">
        <f t="shared" ref="E10:E21" si="0">E11-(0.04/9)</f>
        <v>0.1822222222222222</v>
      </c>
      <c r="F10" s="213">
        <f>(D10-C10+C10/4)*E10*8766/10^6</f>
        <v>2.7841984799999997</v>
      </c>
      <c r="G10" s="437">
        <v>3.6</v>
      </c>
      <c r="H10" s="214">
        <v>3.5</v>
      </c>
      <c r="I10" s="144">
        <f t="shared" ref="I10:I15" si="1">G10*1000000/(D10*8760)</f>
        <v>0.23577676655742344</v>
      </c>
    </row>
    <row r="11" spans="2:10">
      <c r="B11" s="74">
        <v>1991</v>
      </c>
      <c r="C11" s="215">
        <f t="shared" ref="C11:C21" si="2">D11-D10</f>
        <v>240</v>
      </c>
      <c r="D11" s="441">
        <v>1983</v>
      </c>
      <c r="E11" s="297">
        <f t="shared" si="0"/>
        <v>0.18666666666666665</v>
      </c>
      <c r="F11" s="213">
        <f t="shared" ref="F11:F29" si="3">(D11-C11+C11/4)*E11*8766/10^6</f>
        <v>2.9502849599999994</v>
      </c>
      <c r="G11" s="437">
        <v>4.0999999999999996</v>
      </c>
      <c r="H11" s="214">
        <v>4.0999999999999996</v>
      </c>
      <c r="I11" s="144">
        <f t="shared" si="1"/>
        <v>0.23602447285948827</v>
      </c>
    </row>
    <row r="12" spans="2:10">
      <c r="B12" s="74">
        <v>1992</v>
      </c>
      <c r="C12" s="215">
        <f t="shared" si="2"/>
        <v>338</v>
      </c>
      <c r="D12" s="441">
        <v>2321</v>
      </c>
      <c r="E12" s="297">
        <f t="shared" si="0"/>
        <v>0.19111111111111109</v>
      </c>
      <c r="F12" s="213">
        <f t="shared" si="3"/>
        <v>3.4636413999999998</v>
      </c>
      <c r="G12" s="437">
        <v>4.7</v>
      </c>
      <c r="H12" s="214">
        <v>4.5999999999999996</v>
      </c>
      <c r="I12" s="144">
        <f t="shared" si="1"/>
        <v>0.2311631539703993</v>
      </c>
    </row>
    <row r="13" spans="2:10">
      <c r="B13" s="74">
        <v>1993</v>
      </c>
      <c r="C13" s="215">
        <f t="shared" si="2"/>
        <v>480</v>
      </c>
      <c r="D13" s="441">
        <v>2801</v>
      </c>
      <c r="E13" s="297">
        <f t="shared" si="0"/>
        <v>0.19555555555555554</v>
      </c>
      <c r="F13" s="213">
        <f t="shared" si="3"/>
        <v>4.1844598399999997</v>
      </c>
      <c r="G13" s="437">
        <v>5.7</v>
      </c>
      <c r="H13" s="214">
        <v>5.6</v>
      </c>
      <c r="I13" s="144">
        <f t="shared" si="1"/>
        <v>0.23230450964185981</v>
      </c>
    </row>
    <row r="14" spans="2:10">
      <c r="B14" s="74">
        <v>1994</v>
      </c>
      <c r="C14" s="215">
        <f t="shared" si="2"/>
        <v>730</v>
      </c>
      <c r="D14" s="441">
        <v>3531</v>
      </c>
      <c r="E14" s="297">
        <f t="shared" si="0"/>
        <v>0.19999999999999998</v>
      </c>
      <c r="F14" s="213">
        <f t="shared" si="3"/>
        <v>5.230672199999999</v>
      </c>
      <c r="G14" s="437">
        <v>7.1</v>
      </c>
      <c r="H14" s="214">
        <v>7.3</v>
      </c>
      <c r="I14" s="144">
        <f t="shared" si="1"/>
        <v>0.22953902098697898</v>
      </c>
    </row>
    <row r="15" spans="2:10">
      <c r="B15" s="74">
        <v>1995</v>
      </c>
      <c r="C15" s="215">
        <f t="shared" si="2"/>
        <v>1290</v>
      </c>
      <c r="D15" s="441">
        <v>4821</v>
      </c>
      <c r="E15" s="297">
        <f t="shared" si="0"/>
        <v>0.20444444444444443</v>
      </c>
      <c r="F15" s="213">
        <f t="shared" si="3"/>
        <v>6.9060885599999997</v>
      </c>
      <c r="G15" s="437">
        <v>8.3000000000000007</v>
      </c>
      <c r="H15" s="214">
        <v>8</v>
      </c>
      <c r="I15" s="144">
        <f t="shared" si="1"/>
        <v>0.19653362050920678</v>
      </c>
      <c r="J15" s="217"/>
    </row>
    <row r="16" spans="2:10">
      <c r="B16" s="74">
        <v>1996</v>
      </c>
      <c r="C16" s="216">
        <v>1280</v>
      </c>
      <c r="D16" s="442">
        <v>6100</v>
      </c>
      <c r="E16" s="297">
        <f t="shared" si="0"/>
        <v>0.20888888888888887</v>
      </c>
      <c r="F16" s="213">
        <f t="shared" si="3"/>
        <v>9.4119568000000005</v>
      </c>
      <c r="G16" s="437">
        <v>9.1999999999999993</v>
      </c>
      <c r="H16" s="214">
        <v>9.3000000000000007</v>
      </c>
      <c r="I16" s="144">
        <f>G16*1000000/(D16*8760)</f>
        <v>0.17216857549217757</v>
      </c>
    </row>
    <row r="17" spans="2:14">
      <c r="B17" s="74">
        <v>1997</v>
      </c>
      <c r="C17" s="216">
        <v>1530</v>
      </c>
      <c r="D17" s="442">
        <v>7600</v>
      </c>
      <c r="E17" s="297">
        <f t="shared" si="0"/>
        <v>0.21333333333333332</v>
      </c>
      <c r="F17" s="213">
        <f t="shared" si="3"/>
        <v>12.066691199999999</v>
      </c>
      <c r="G17" s="437">
        <v>12</v>
      </c>
      <c r="H17" s="214">
        <v>12.1</v>
      </c>
      <c r="I17" s="144">
        <f t="shared" ref="I17:I33" si="4">G17*1000000/(D17*8760)</f>
        <v>0.18024513338139869</v>
      </c>
    </row>
    <row r="18" spans="2:14">
      <c r="B18" s="74">
        <v>1998</v>
      </c>
      <c r="C18" s="216">
        <v>2520</v>
      </c>
      <c r="D18" s="442">
        <v>10200</v>
      </c>
      <c r="E18" s="297">
        <f t="shared" si="0"/>
        <v>0.21777777777777776</v>
      </c>
      <c r="F18" s="213">
        <f t="shared" si="3"/>
        <v>15.864122399999998</v>
      </c>
      <c r="G18" s="437">
        <v>16</v>
      </c>
      <c r="H18" s="214">
        <v>16.100000000000001</v>
      </c>
      <c r="I18" s="144">
        <f t="shared" si="4"/>
        <v>0.17906706061420002</v>
      </c>
    </row>
    <row r="19" spans="2:14">
      <c r="B19" s="74">
        <v>1999</v>
      </c>
      <c r="C19" s="216">
        <v>3440</v>
      </c>
      <c r="D19" s="442">
        <v>13600</v>
      </c>
      <c r="E19" s="297">
        <f t="shared" si="0"/>
        <v>0.22222222222222221</v>
      </c>
      <c r="F19" s="213">
        <f t="shared" si="3"/>
        <v>21.46696</v>
      </c>
      <c r="G19" s="437">
        <v>21.2</v>
      </c>
      <c r="H19" s="214">
        <v>21.2</v>
      </c>
      <c r="I19" s="144">
        <f t="shared" si="4"/>
        <v>0.17794789148536128</v>
      </c>
    </row>
    <row r="20" spans="2:14">
      <c r="B20" s="74">
        <v>2000</v>
      </c>
      <c r="C20" s="216">
        <v>3760</v>
      </c>
      <c r="D20" s="442">
        <v>17400</v>
      </c>
      <c r="E20" s="297">
        <f t="shared" si="0"/>
        <v>0.22666666666666666</v>
      </c>
      <c r="F20" s="213">
        <f t="shared" si="3"/>
        <v>28.969876799999998</v>
      </c>
      <c r="G20" s="437">
        <v>29.5</v>
      </c>
      <c r="H20" s="214">
        <v>31.4</v>
      </c>
      <c r="I20" s="144">
        <f t="shared" si="4"/>
        <v>0.19353907521125283</v>
      </c>
    </row>
    <row r="21" spans="2:14">
      <c r="B21" s="74">
        <v>2001</v>
      </c>
      <c r="C21" s="216">
        <f t="shared" si="2"/>
        <v>6500</v>
      </c>
      <c r="D21" s="442">
        <v>23900</v>
      </c>
      <c r="E21" s="297">
        <f t="shared" si="0"/>
        <v>0.2311111111111111</v>
      </c>
      <c r="F21" s="213">
        <f t="shared" si="3"/>
        <v>38.543128000000003</v>
      </c>
      <c r="G21" s="437">
        <v>38.5</v>
      </c>
      <c r="H21" s="214">
        <v>38.4</v>
      </c>
      <c r="I21" s="144">
        <f t="shared" si="4"/>
        <v>0.18389025811505322</v>
      </c>
      <c r="J21" s="136"/>
      <c r="K21" s="136"/>
      <c r="L21" s="136"/>
      <c r="M21" s="136"/>
      <c r="N21" s="136"/>
    </row>
    <row r="22" spans="2:14">
      <c r="B22" s="74">
        <v>2002</v>
      </c>
      <c r="C22" s="216">
        <v>7270</v>
      </c>
      <c r="D22" s="442">
        <v>31100</v>
      </c>
      <c r="E22" s="297">
        <f>E23-(0.04/9)</f>
        <v>0.23555555555555555</v>
      </c>
      <c r="F22" s="213">
        <f t="shared" si="3"/>
        <v>52.959009799999997</v>
      </c>
      <c r="G22" s="437">
        <v>53</v>
      </c>
      <c r="H22" s="218">
        <v>52.8</v>
      </c>
      <c r="I22" s="144">
        <f t="shared" si="4"/>
        <v>0.19454110323158466</v>
      </c>
      <c r="J22" s="136"/>
      <c r="K22" s="136"/>
      <c r="L22" s="136"/>
      <c r="M22" s="136"/>
      <c r="N22" s="136"/>
    </row>
    <row r="23" spans="2:14">
      <c r="B23" s="74">
        <v>2003</v>
      </c>
      <c r="C23" s="216">
        <v>8133</v>
      </c>
      <c r="D23" s="442">
        <v>39431</v>
      </c>
      <c r="E23" s="300">
        <v>0.24</v>
      </c>
      <c r="F23" s="213">
        <f t="shared" si="3"/>
        <v>70.123616999999996</v>
      </c>
      <c r="G23" s="437">
        <v>63.4</v>
      </c>
      <c r="H23" s="218">
        <v>64.3</v>
      </c>
      <c r="I23" s="144">
        <f t="shared" si="4"/>
        <v>0.18354702955477745</v>
      </c>
      <c r="J23" s="175"/>
      <c r="K23" s="175"/>
      <c r="L23" s="175"/>
      <c r="M23" s="175"/>
      <c r="N23" s="136"/>
    </row>
    <row r="24" spans="2:14">
      <c r="B24" s="74">
        <v>2004</v>
      </c>
      <c r="C24" s="216">
        <v>8207</v>
      </c>
      <c r="D24" s="443">
        <v>47620</v>
      </c>
      <c r="E24" s="301">
        <f t="shared" ref="E24:E32" si="5">(0.04/9)+E23</f>
        <v>0.24444444444444444</v>
      </c>
      <c r="F24" s="213">
        <f t="shared" si="3"/>
        <v>88.8506663</v>
      </c>
      <c r="G24" s="437">
        <v>85.7</v>
      </c>
      <c r="H24" s="218">
        <v>84.1</v>
      </c>
      <c r="I24" s="144">
        <f t="shared" si="4"/>
        <v>0.20544109665751892</v>
      </c>
      <c r="J24" s="175"/>
      <c r="K24" s="175"/>
      <c r="L24" s="175"/>
      <c r="M24" s="175"/>
      <c r="N24" s="136"/>
    </row>
    <row r="25" spans="2:14">
      <c r="B25" s="74">
        <v>2005</v>
      </c>
      <c r="C25" s="216">
        <v>11531</v>
      </c>
      <c r="D25" s="442">
        <v>59091</v>
      </c>
      <c r="E25" s="301">
        <f t="shared" si="5"/>
        <v>0.24888888888888888</v>
      </c>
      <c r="F25" s="213">
        <f t="shared" si="3"/>
        <v>110.05397423999999</v>
      </c>
      <c r="G25" s="437">
        <v>104.4</v>
      </c>
      <c r="H25" s="218">
        <v>104</v>
      </c>
      <c r="I25" s="144">
        <f t="shared" si="4"/>
        <v>0.20168567496197529</v>
      </c>
      <c r="J25" s="175"/>
      <c r="K25" s="175"/>
      <c r="L25" s="175"/>
      <c r="M25" s="175"/>
      <c r="N25" s="136"/>
    </row>
    <row r="26" spans="2:14">
      <c r="B26" s="74">
        <v>2006</v>
      </c>
      <c r="C26" s="216">
        <v>15052</v>
      </c>
      <c r="D26" s="442">
        <v>74006</v>
      </c>
      <c r="E26" s="301">
        <f t="shared" si="5"/>
        <v>0.2533333333333333</v>
      </c>
      <c r="F26" s="213">
        <f t="shared" si="3"/>
        <v>139.27689623999999</v>
      </c>
      <c r="G26" s="437">
        <v>133.19999999999999</v>
      </c>
      <c r="H26" s="218">
        <v>131.80000000000001</v>
      </c>
      <c r="I26" s="144">
        <f t="shared" si="4"/>
        <v>0.20546279290942346</v>
      </c>
      <c r="J26" s="220"/>
      <c r="K26" s="71"/>
      <c r="L26" s="220"/>
      <c r="M26" s="221"/>
      <c r="N26" s="136"/>
    </row>
    <row r="27" spans="2:14">
      <c r="B27" s="74">
        <v>2007</v>
      </c>
      <c r="C27" s="216">
        <v>19865</v>
      </c>
      <c r="D27" s="442">
        <v>93639</v>
      </c>
      <c r="E27" s="294">
        <f t="shared" si="5"/>
        <v>0.25777777777777772</v>
      </c>
      <c r="F27" s="213">
        <f t="shared" si="3"/>
        <v>177.92776811999994</v>
      </c>
      <c r="G27" s="437">
        <v>170.7</v>
      </c>
      <c r="H27" s="218">
        <v>170.6</v>
      </c>
      <c r="I27" s="144">
        <f t="shared" si="4"/>
        <v>0.20810027200058751</v>
      </c>
      <c r="J27" s="220"/>
      <c r="K27" s="71"/>
      <c r="L27" s="220"/>
      <c r="M27" s="221"/>
      <c r="N27" s="136"/>
    </row>
    <row r="28" spans="2:14">
      <c r="B28" s="74">
        <v>2008</v>
      </c>
      <c r="C28" s="216">
        <v>26721</v>
      </c>
      <c r="D28" s="442">
        <v>120267</v>
      </c>
      <c r="E28" s="294">
        <f t="shared" si="5"/>
        <v>0.26222222222222213</v>
      </c>
      <c r="F28" s="213">
        <f t="shared" si="3"/>
        <v>230.38406729999991</v>
      </c>
      <c r="G28" s="437">
        <v>219.2</v>
      </c>
      <c r="H28" s="218">
        <v>220.3</v>
      </c>
      <c r="I28" s="144">
        <f t="shared" si="4"/>
        <v>0.20806065712313693</v>
      </c>
      <c r="J28" s="220"/>
      <c r="K28" s="71"/>
      <c r="L28" s="220"/>
      <c r="M28" s="221"/>
      <c r="N28" s="136"/>
    </row>
    <row r="29" spans="2:14">
      <c r="B29" s="74">
        <v>2009</v>
      </c>
      <c r="C29" s="216">
        <v>38708</v>
      </c>
      <c r="D29" s="442">
        <v>158864</v>
      </c>
      <c r="E29" s="294">
        <f t="shared" si="5"/>
        <v>0.26666666666666655</v>
      </c>
      <c r="F29" s="213">
        <f t="shared" si="3"/>
        <v>303.49762079999982</v>
      </c>
      <c r="G29" s="437">
        <v>277.89999999999998</v>
      </c>
      <c r="H29" s="218">
        <v>276</v>
      </c>
      <c r="I29" s="144">
        <f t="shared" si="4"/>
        <v>0.19969120941331858</v>
      </c>
      <c r="J29" s="71"/>
      <c r="K29" s="220"/>
      <c r="L29" s="221"/>
      <c r="M29" s="136"/>
    </row>
    <row r="30" spans="2:14">
      <c r="B30" s="222">
        <v>2010</v>
      </c>
      <c r="C30" s="216">
        <v>38850</v>
      </c>
      <c r="D30" s="442">
        <v>197686</v>
      </c>
      <c r="E30" s="302">
        <f t="shared" si="5"/>
        <v>0.27111111111111097</v>
      </c>
      <c r="F30" s="223">
        <f t="shared" ref="F30:F32" si="6">(D30-C30+C30/4)*E30*8766/10^6</f>
        <v>400.5656231599998</v>
      </c>
      <c r="G30" s="437">
        <v>348.1</v>
      </c>
      <c r="H30" s="218">
        <v>341.5</v>
      </c>
      <c r="I30" s="144">
        <f t="shared" si="4"/>
        <v>0.20101293426127509</v>
      </c>
      <c r="N30" s="136"/>
    </row>
    <row r="31" spans="2:14">
      <c r="B31" s="222">
        <v>2011</v>
      </c>
      <c r="C31" s="216">
        <v>40629</v>
      </c>
      <c r="D31" s="442">
        <v>238035</v>
      </c>
      <c r="E31" s="302">
        <f t="shared" si="5"/>
        <v>0.27555555555555539</v>
      </c>
      <c r="F31" s="223">
        <f t="shared" si="6"/>
        <v>501.3731816399997</v>
      </c>
      <c r="G31" s="437">
        <v>440.1</v>
      </c>
      <c r="H31" s="214">
        <v>446.3</v>
      </c>
      <c r="I31" s="144">
        <f t="shared" si="4"/>
        <v>0.21106024755770059</v>
      </c>
      <c r="N31" s="136"/>
    </row>
    <row r="32" spans="2:14">
      <c r="B32" s="182">
        <v>2012</v>
      </c>
      <c r="C32" s="216">
        <v>44711</v>
      </c>
      <c r="D32" s="442">
        <v>282430</v>
      </c>
      <c r="E32" s="303">
        <f t="shared" si="5"/>
        <v>0.2799999999999998</v>
      </c>
      <c r="F32" s="213">
        <f t="shared" si="6"/>
        <v>610.91209493999963</v>
      </c>
      <c r="G32" s="438">
        <v>521.29999999999995</v>
      </c>
      <c r="H32" s="224" t="s">
        <v>116</v>
      </c>
      <c r="I32" s="144">
        <f t="shared" si="4"/>
        <v>0.21070400601951392</v>
      </c>
      <c r="N32" s="136"/>
    </row>
    <row r="33" spans="2:11" ht="14" thickBot="1">
      <c r="B33" s="183">
        <v>2013</v>
      </c>
      <c r="C33" s="225">
        <f>D33-D32</f>
        <v>35675</v>
      </c>
      <c r="D33" s="444">
        <v>318105</v>
      </c>
      <c r="E33" s="298">
        <f>E32+(0.02/23)</f>
        <v>0.28086956521739109</v>
      </c>
      <c r="F33" s="227">
        <f>(D33-C33+C33/4)*E33*8766/10^6</f>
        <v>717.33051741521695</v>
      </c>
      <c r="G33" s="439">
        <v>628.20000000000005</v>
      </c>
      <c r="H33" s="228" t="s">
        <v>116</v>
      </c>
      <c r="I33" s="145">
        <f t="shared" si="4"/>
        <v>0.22543603139568158</v>
      </c>
      <c r="J33" s="78"/>
    </row>
    <row r="34" spans="2:11">
      <c r="B34" s="72"/>
      <c r="C34" s="175"/>
      <c r="D34" s="175"/>
      <c r="E34" s="78"/>
      <c r="F34" s="184"/>
      <c r="G34" s="184"/>
      <c r="H34" s="185"/>
      <c r="I34" s="185"/>
      <c r="J34" s="78"/>
      <c r="K34" s="78"/>
    </row>
    <row r="35" spans="2:11">
      <c r="B35" s="68" t="s">
        <v>250</v>
      </c>
      <c r="C35" s="78"/>
      <c r="D35" s="78"/>
      <c r="E35" s="78"/>
      <c r="F35" s="78"/>
      <c r="G35" s="78"/>
      <c r="H35" s="78"/>
      <c r="I35" s="78"/>
      <c r="J35" s="78"/>
      <c r="K35" s="78"/>
    </row>
    <row r="36" spans="2:11" ht="14" thickBot="1">
      <c r="C36" s="78"/>
      <c r="D36" s="78"/>
      <c r="E36" s="78"/>
      <c r="F36" s="78"/>
      <c r="G36" s="78"/>
      <c r="H36" s="78"/>
      <c r="I36" s="78"/>
    </row>
    <row r="37" spans="2:11" ht="14" thickBot="1">
      <c r="B37" s="321" t="s">
        <v>65</v>
      </c>
      <c r="C37" s="229"/>
      <c r="D37" s="229"/>
      <c r="E37" s="229"/>
      <c r="F37" s="229"/>
      <c r="G37" s="229"/>
      <c r="H37" s="229"/>
      <c r="I37" s="230"/>
    </row>
    <row r="38" spans="2:11">
      <c r="B38" s="231" t="s">
        <v>43</v>
      </c>
      <c r="C38" s="232" t="s">
        <v>75</v>
      </c>
      <c r="D38" s="233"/>
      <c r="E38" s="233"/>
      <c r="F38" s="233"/>
      <c r="G38" s="70"/>
      <c r="H38" s="70"/>
      <c r="I38" s="234"/>
    </row>
    <row r="39" spans="2:11">
      <c r="B39" s="182"/>
      <c r="C39" s="197" t="s">
        <v>90</v>
      </c>
      <c r="D39" s="136"/>
      <c r="E39" s="136"/>
      <c r="F39" s="136"/>
      <c r="G39" s="72"/>
      <c r="H39" s="72"/>
      <c r="I39" s="73"/>
    </row>
    <row r="40" spans="2:11">
      <c r="B40" s="182"/>
      <c r="C40" s="235" t="s">
        <v>6</v>
      </c>
      <c r="D40" s="136"/>
      <c r="E40" s="136"/>
      <c r="F40" s="136"/>
      <c r="G40" s="72"/>
      <c r="H40" s="72"/>
      <c r="I40" s="73"/>
    </row>
    <row r="41" spans="2:11">
      <c r="B41" s="182"/>
      <c r="C41" s="197"/>
      <c r="D41" s="136"/>
      <c r="E41" s="136"/>
      <c r="F41" s="136"/>
      <c r="G41" s="72"/>
      <c r="H41" s="72"/>
      <c r="I41" s="73"/>
    </row>
    <row r="42" spans="2:11">
      <c r="B42" s="482" t="s">
        <v>43</v>
      </c>
      <c r="C42" s="197" t="s">
        <v>36</v>
      </c>
      <c r="D42" s="136"/>
      <c r="E42" s="136"/>
      <c r="F42" s="136"/>
      <c r="G42" s="72"/>
      <c r="H42" s="72"/>
      <c r="I42" s="73"/>
    </row>
    <row r="43" spans="2:11" ht="13" customHeight="1">
      <c r="B43" s="482"/>
      <c r="C43" s="197" t="s">
        <v>111</v>
      </c>
      <c r="D43" s="136"/>
      <c r="E43" s="136"/>
      <c r="F43" s="136"/>
      <c r="G43" s="72"/>
      <c r="H43" s="72"/>
      <c r="I43" s="73"/>
    </row>
    <row r="44" spans="2:11">
      <c r="B44" s="182"/>
      <c r="C44" s="235" t="s">
        <v>105</v>
      </c>
      <c r="D44" s="236"/>
      <c r="E44" s="236"/>
      <c r="F44" s="236"/>
      <c r="G44" s="72"/>
      <c r="H44" s="72"/>
      <c r="I44" s="73"/>
    </row>
    <row r="45" spans="2:11">
      <c r="B45" s="182"/>
      <c r="C45" s="237"/>
      <c r="D45" s="236"/>
      <c r="E45" s="236"/>
      <c r="F45" s="236"/>
      <c r="G45" s="72"/>
      <c r="H45" s="72"/>
      <c r="I45" s="73"/>
    </row>
    <row r="46" spans="2:11">
      <c r="B46" s="238" t="s">
        <v>202</v>
      </c>
      <c r="C46" s="197" t="s">
        <v>80</v>
      </c>
      <c r="D46" s="136"/>
      <c r="E46" s="136"/>
      <c r="F46" s="136"/>
      <c r="G46" s="72"/>
      <c r="H46" s="72"/>
      <c r="I46" s="73"/>
    </row>
    <row r="47" spans="2:11" ht="12" customHeight="1">
      <c r="B47" s="182"/>
      <c r="C47" s="197" t="s">
        <v>38</v>
      </c>
      <c r="D47" s="136"/>
      <c r="E47" s="136"/>
      <c r="F47" s="136"/>
      <c r="G47" s="72"/>
      <c r="H47" s="72"/>
      <c r="I47" s="73"/>
    </row>
    <row r="48" spans="2:11">
      <c r="B48" s="182"/>
      <c r="C48" s="239" t="s">
        <v>44</v>
      </c>
      <c r="D48" s="240"/>
      <c r="E48" s="240"/>
      <c r="F48" s="240"/>
      <c r="G48" s="72"/>
      <c r="H48" s="72"/>
      <c r="I48" s="73"/>
    </row>
    <row r="49" spans="2:9">
      <c r="B49" s="182"/>
      <c r="C49" s="241"/>
      <c r="D49" s="240"/>
      <c r="E49" s="240"/>
      <c r="F49" s="240"/>
      <c r="G49" s="72"/>
      <c r="H49" s="72"/>
      <c r="I49" s="73"/>
    </row>
    <row r="50" spans="2:9">
      <c r="B50" s="242" t="s">
        <v>30</v>
      </c>
      <c r="C50" s="197" t="s">
        <v>201</v>
      </c>
      <c r="D50" s="136"/>
      <c r="E50" s="136"/>
      <c r="F50" s="136"/>
      <c r="G50" s="72"/>
      <c r="H50" s="72"/>
      <c r="I50" s="73"/>
    </row>
    <row r="51" spans="2:9">
      <c r="B51" s="182"/>
      <c r="C51" s="235" t="s">
        <v>85</v>
      </c>
      <c r="D51" s="136"/>
      <c r="E51" s="136"/>
      <c r="F51" s="136"/>
      <c r="G51" s="72"/>
      <c r="H51" s="72"/>
      <c r="I51" s="73"/>
    </row>
    <row r="52" spans="2:9">
      <c r="B52" s="182"/>
      <c r="C52" s="197"/>
      <c r="D52" s="136"/>
      <c r="E52" s="136"/>
      <c r="F52" s="136"/>
      <c r="G52" s="72"/>
      <c r="H52" s="72"/>
      <c r="I52" s="73"/>
    </row>
    <row r="53" spans="2:9">
      <c r="B53" s="243" t="s">
        <v>203</v>
      </c>
      <c r="C53" s="89" t="s">
        <v>249</v>
      </c>
      <c r="D53" s="136"/>
      <c r="E53" s="136"/>
      <c r="F53" s="136"/>
      <c r="G53" s="72"/>
      <c r="H53" s="72"/>
      <c r="I53" s="73"/>
    </row>
    <row r="54" spans="2:9">
      <c r="B54" s="182"/>
      <c r="C54" s="205" t="s">
        <v>200</v>
      </c>
      <c r="D54" s="136"/>
      <c r="E54" s="136"/>
      <c r="F54" s="136"/>
      <c r="G54" s="72"/>
      <c r="H54" s="72"/>
      <c r="I54" s="73"/>
    </row>
    <row r="55" spans="2:9">
      <c r="B55" s="182"/>
      <c r="C55" s="205"/>
      <c r="D55" s="136"/>
      <c r="E55" s="136"/>
      <c r="F55" s="136"/>
      <c r="G55" s="72"/>
      <c r="H55" s="72"/>
      <c r="I55" s="73"/>
    </row>
    <row r="56" spans="2:9">
      <c r="B56" s="244" t="s">
        <v>203</v>
      </c>
      <c r="C56" s="89" t="s">
        <v>204</v>
      </c>
      <c r="D56" s="136"/>
      <c r="E56" s="136"/>
      <c r="F56" s="136"/>
      <c r="G56" s="72"/>
      <c r="H56" s="72"/>
      <c r="I56" s="73"/>
    </row>
    <row r="57" spans="2:9">
      <c r="B57" s="182"/>
      <c r="C57" s="235" t="s">
        <v>205</v>
      </c>
      <c r="D57" s="136"/>
      <c r="E57" s="136"/>
      <c r="F57" s="136"/>
      <c r="G57" s="72"/>
      <c r="H57" s="72"/>
      <c r="I57" s="73"/>
    </row>
    <row r="58" spans="2:9" ht="14" thickBot="1">
      <c r="B58" s="183"/>
      <c r="C58" s="245"/>
      <c r="D58" s="246"/>
      <c r="E58" s="246"/>
      <c r="F58" s="246"/>
      <c r="G58" s="100"/>
      <c r="H58" s="100"/>
      <c r="I58" s="84"/>
    </row>
  </sheetData>
  <mergeCells count="2">
    <mergeCell ref="B42:B43"/>
    <mergeCell ref="B6:I6"/>
  </mergeCells>
  <phoneticPr fontId="7"/>
  <hyperlinks>
    <hyperlink ref="C57" r:id="rId1"/>
    <hyperlink ref="C51" r:id="rId2"/>
    <hyperlink ref="C48" r:id="rId3"/>
    <hyperlink ref="C44" r:id="rId4"/>
    <hyperlink ref="C40" r:id="rId5"/>
  </hyperlink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theme="8" tint="0.39997558519241921"/>
    <pageSetUpPr fitToPage="1"/>
  </sheetPr>
  <dimension ref="B2:R73"/>
  <sheetViews>
    <sheetView showGridLines="0" topLeftCell="A3" workbookViewId="0">
      <selection activeCell="P40" sqref="P40"/>
    </sheetView>
  </sheetViews>
  <sheetFormatPr baseColWidth="10" defaultColWidth="11" defaultRowHeight="13" x14ac:dyDescent="0"/>
  <cols>
    <col min="1" max="1" width="2.28515625" style="69" customWidth="1"/>
    <col min="2" max="2" width="7.85546875" style="69" customWidth="1"/>
    <col min="3" max="3" width="6.42578125" style="69" customWidth="1"/>
    <col min="4" max="5" width="11" style="69"/>
    <col min="6" max="6" width="11.28515625" style="69" customWidth="1"/>
    <col min="7" max="7" width="12.42578125" style="69" customWidth="1"/>
    <col min="8" max="8" width="11" style="69"/>
    <col min="9" max="9" width="11.42578125" style="69" customWidth="1"/>
    <col min="10" max="10" width="8.5703125" style="69" customWidth="1"/>
    <col min="11" max="11" width="13.28515625" style="69" customWidth="1"/>
    <col min="12" max="12" width="15.85546875" style="69" customWidth="1"/>
    <col min="13" max="13" width="7.28515625" style="69" customWidth="1"/>
    <col min="14" max="16384" width="11" style="69"/>
  </cols>
  <sheetData>
    <row r="2" spans="2:13">
      <c r="B2" s="68" t="s">
        <v>207</v>
      </c>
    </row>
    <row r="3" spans="2:13" ht="14" thickBot="1">
      <c r="B3" s="68" t="s">
        <v>195</v>
      </c>
    </row>
    <row r="4" spans="2:13" ht="14" thickBot="1">
      <c r="B4" s="429"/>
      <c r="C4" s="68" t="s">
        <v>254</v>
      </c>
    </row>
    <row r="5" spans="2:13" ht="14" thickBot="1"/>
    <row r="6" spans="2:13" ht="14" thickBot="1">
      <c r="B6" s="479" t="s">
        <v>218</v>
      </c>
      <c r="C6" s="483"/>
      <c r="D6" s="483"/>
      <c r="E6" s="483"/>
      <c r="F6" s="483"/>
      <c r="G6" s="483"/>
      <c r="H6" s="483"/>
      <c r="I6" s="483"/>
      <c r="J6" s="483"/>
      <c r="K6" s="483"/>
      <c r="L6" s="483"/>
      <c r="M6" s="484"/>
    </row>
    <row r="7" spans="2:13">
      <c r="B7" s="306"/>
      <c r="C7" s="307"/>
      <c r="D7" s="306" t="s">
        <v>208</v>
      </c>
      <c r="E7" s="307" t="s">
        <v>92</v>
      </c>
      <c r="F7" s="306" t="s">
        <v>216</v>
      </c>
      <c r="G7" s="308" t="s">
        <v>217</v>
      </c>
      <c r="H7" s="308" t="s">
        <v>230</v>
      </c>
      <c r="I7" s="308" t="s">
        <v>92</v>
      </c>
      <c r="J7" s="306" t="s">
        <v>152</v>
      </c>
      <c r="K7" s="307" t="s">
        <v>154</v>
      </c>
      <c r="L7" s="307" t="s">
        <v>114</v>
      </c>
      <c r="M7" s="176" t="s">
        <v>151</v>
      </c>
    </row>
    <row r="8" spans="2:13">
      <c r="B8" s="309"/>
      <c r="C8" s="310"/>
      <c r="D8" s="309" t="s">
        <v>143</v>
      </c>
      <c r="E8" s="310" t="s">
        <v>229</v>
      </c>
      <c r="F8" s="309" t="s">
        <v>143</v>
      </c>
      <c r="G8" s="311" t="s">
        <v>143</v>
      </c>
      <c r="H8" s="311" t="s">
        <v>167</v>
      </c>
      <c r="I8" s="311" t="s">
        <v>143</v>
      </c>
      <c r="J8" s="309" t="s">
        <v>153</v>
      </c>
      <c r="K8" s="310" t="s">
        <v>227</v>
      </c>
      <c r="L8" s="310" t="s">
        <v>227</v>
      </c>
      <c r="M8" s="177" t="s">
        <v>143</v>
      </c>
    </row>
    <row r="9" spans="2:13" ht="14" thickBot="1">
      <c r="B9" s="312"/>
      <c r="C9" s="313"/>
      <c r="D9" s="312" t="s">
        <v>213</v>
      </c>
      <c r="E9" s="313" t="s">
        <v>213</v>
      </c>
      <c r="F9" s="312" t="s">
        <v>213</v>
      </c>
      <c r="G9" s="314" t="s">
        <v>213</v>
      </c>
      <c r="H9" s="314" t="s">
        <v>213</v>
      </c>
      <c r="I9" s="314" t="s">
        <v>213</v>
      </c>
      <c r="J9" s="312"/>
      <c r="K9" s="313" t="s">
        <v>170</v>
      </c>
      <c r="L9" s="313" t="s">
        <v>170</v>
      </c>
      <c r="M9" s="285" t="s">
        <v>144</v>
      </c>
    </row>
    <row r="10" spans="2:13">
      <c r="B10" s="79"/>
      <c r="C10" s="72">
        <v>1990</v>
      </c>
      <c r="D10" s="249">
        <v>47</v>
      </c>
      <c r="E10" s="247">
        <f>272</f>
        <v>272</v>
      </c>
      <c r="F10" s="215">
        <f>D10*0.3834+40*(1-0.3834)</f>
        <v>42.683800000000005</v>
      </c>
      <c r="G10" s="250">
        <v>0</v>
      </c>
      <c r="H10" s="251">
        <f t="shared" ref="H10:H20" si="0">F10-G10</f>
        <v>42.683800000000005</v>
      </c>
      <c r="I10" s="445">
        <f>268</f>
        <v>268</v>
      </c>
      <c r="J10" s="292">
        <v>0.17</v>
      </c>
      <c r="K10" s="290">
        <f>(I10-H10+H10/4)*J10*8766/10^6</f>
        <v>0.35167277067299996</v>
      </c>
      <c r="L10" s="449">
        <v>0.4</v>
      </c>
      <c r="M10" s="253">
        <f t="shared" ref="M10:M31" si="1">L10*1000000/(8766*I10)</f>
        <v>0.1702643524335884</v>
      </c>
    </row>
    <row r="11" spans="2:13">
      <c r="B11" s="79"/>
      <c r="C11" s="72">
        <v>1991</v>
      </c>
      <c r="D11" s="249">
        <v>55</v>
      </c>
      <c r="E11" s="247">
        <f t="shared" ref="E11:E22" si="2">E12-D12</f>
        <v>327</v>
      </c>
      <c r="F11" s="215">
        <f t="shared" ref="F11:F23" si="3">D11*0.3834+D10*(1-0.3834)</f>
        <v>50.0672</v>
      </c>
      <c r="G11" s="250">
        <v>0</v>
      </c>
      <c r="H11" s="251">
        <f t="shared" si="0"/>
        <v>50.0672</v>
      </c>
      <c r="I11" s="445">
        <f t="shared" ref="I11:I19" si="4">I10+F11-G11</f>
        <v>318.06720000000001</v>
      </c>
      <c r="J11" s="293">
        <v>0.17</v>
      </c>
      <c r="K11" s="290">
        <f t="shared" ref="K11:K31" si="5">(I11-H11+H11/4)*J11*8766/10^6</f>
        <v>0.41803174569600005</v>
      </c>
      <c r="L11" s="449">
        <v>0.5</v>
      </c>
      <c r="M11" s="253">
        <f t="shared" si="1"/>
        <v>0.17932863893306855</v>
      </c>
    </row>
    <row r="12" spans="2:13">
      <c r="B12" s="79"/>
      <c r="C12" s="72">
        <v>1992</v>
      </c>
      <c r="D12" s="249">
        <v>58</v>
      </c>
      <c r="E12" s="247">
        <f t="shared" si="2"/>
        <v>385</v>
      </c>
      <c r="F12" s="215">
        <f t="shared" si="3"/>
        <v>56.150200000000005</v>
      </c>
      <c r="G12" s="250">
        <v>0</v>
      </c>
      <c r="H12" s="251">
        <f t="shared" si="0"/>
        <v>56.150200000000005</v>
      </c>
      <c r="I12" s="445">
        <f t="shared" si="4"/>
        <v>374.2174</v>
      </c>
      <c r="J12" s="293">
        <v>0.17</v>
      </c>
      <c r="K12" s="290">
        <f t="shared" si="5"/>
        <v>0.49490914054500007</v>
      </c>
      <c r="L12" s="449">
        <v>0.5</v>
      </c>
      <c r="M12" s="253">
        <f t="shared" si="1"/>
        <v>0.15242091379303077</v>
      </c>
    </row>
    <row r="13" spans="2:13">
      <c r="B13" s="79"/>
      <c r="C13" s="72">
        <v>1993</v>
      </c>
      <c r="D13" s="249">
        <v>60</v>
      </c>
      <c r="E13" s="247">
        <f t="shared" si="2"/>
        <v>445</v>
      </c>
      <c r="F13" s="215">
        <f t="shared" si="3"/>
        <v>58.766800000000003</v>
      </c>
      <c r="G13" s="250">
        <v>0</v>
      </c>
      <c r="H13" s="251">
        <f t="shared" si="0"/>
        <v>58.766800000000003</v>
      </c>
      <c r="I13" s="445">
        <f t="shared" si="4"/>
        <v>432.98419999999999</v>
      </c>
      <c r="J13" s="293">
        <v>0.17</v>
      </c>
      <c r="K13" s="290">
        <f t="shared" si="5"/>
        <v>0.579560119002</v>
      </c>
      <c r="L13" s="449">
        <v>0.6</v>
      </c>
      <c r="M13" s="253">
        <f t="shared" si="1"/>
        <v>0.15808029410380917</v>
      </c>
    </row>
    <row r="14" spans="2:13">
      <c r="B14" s="79"/>
      <c r="C14" s="72">
        <v>1994</v>
      </c>
      <c r="D14" s="249">
        <v>69</v>
      </c>
      <c r="E14" s="247">
        <f t="shared" si="2"/>
        <v>514</v>
      </c>
      <c r="F14" s="215">
        <f t="shared" si="3"/>
        <v>63.450600000000009</v>
      </c>
      <c r="G14" s="250">
        <v>0</v>
      </c>
      <c r="H14" s="251">
        <f t="shared" si="0"/>
        <v>63.450600000000009</v>
      </c>
      <c r="I14" s="445">
        <f t="shared" si="4"/>
        <v>496.4348</v>
      </c>
      <c r="J14" s="293">
        <v>0.17</v>
      </c>
      <c r="K14" s="290">
        <f t="shared" si="5"/>
        <v>0.66888055280699998</v>
      </c>
      <c r="L14" s="449">
        <v>0.6</v>
      </c>
      <c r="M14" s="253">
        <f t="shared" si="1"/>
        <v>0.13787564787622167</v>
      </c>
    </row>
    <row r="15" spans="2:13">
      <c r="B15" s="79"/>
      <c r="C15" s="72">
        <v>1995</v>
      </c>
      <c r="D15" s="249">
        <v>78</v>
      </c>
      <c r="E15" s="247">
        <f t="shared" si="2"/>
        <v>592</v>
      </c>
      <c r="F15" s="215">
        <f t="shared" si="3"/>
        <v>72.450600000000009</v>
      </c>
      <c r="G15" s="250">
        <v>0</v>
      </c>
      <c r="H15" s="251">
        <f t="shared" si="0"/>
        <v>72.450600000000009</v>
      </c>
      <c r="I15" s="445">
        <f t="shared" si="4"/>
        <v>568.8854</v>
      </c>
      <c r="J15" s="293">
        <v>0.17</v>
      </c>
      <c r="K15" s="290">
        <f t="shared" si="5"/>
        <v>0.76678890093900021</v>
      </c>
      <c r="L15" s="449">
        <v>0.6</v>
      </c>
      <c r="M15" s="253">
        <f t="shared" si="1"/>
        <v>0.12031644629709697</v>
      </c>
    </row>
    <row r="16" spans="2:13">
      <c r="B16" s="79"/>
      <c r="C16" s="72">
        <v>1996</v>
      </c>
      <c r="D16" s="249">
        <v>89</v>
      </c>
      <c r="E16" s="247">
        <f t="shared" si="2"/>
        <v>681</v>
      </c>
      <c r="F16" s="215">
        <f t="shared" si="3"/>
        <v>82.217399999999998</v>
      </c>
      <c r="G16" s="254">
        <f>0.1*(F24/D24)</f>
        <v>7.7638190954773867E-2</v>
      </c>
      <c r="H16" s="251">
        <f t="shared" si="0"/>
        <v>82.139761809045226</v>
      </c>
      <c r="I16" s="445">
        <f t="shared" si="4"/>
        <v>651.02516180904524</v>
      </c>
      <c r="J16" s="293">
        <v>0.17</v>
      </c>
      <c r="K16" s="290">
        <f t="shared" si="5"/>
        <v>0.87836597974876884</v>
      </c>
      <c r="L16" s="449">
        <v>0.7</v>
      </c>
      <c r="M16" s="253">
        <f t="shared" si="1"/>
        <v>0.12265882484397007</v>
      </c>
    </row>
    <row r="17" spans="2:18">
      <c r="B17" s="79"/>
      <c r="C17" s="72">
        <v>1997</v>
      </c>
      <c r="D17" s="249">
        <v>126</v>
      </c>
      <c r="E17" s="247">
        <f t="shared" si="2"/>
        <v>807</v>
      </c>
      <c r="F17" s="215">
        <f t="shared" si="3"/>
        <v>103.1858</v>
      </c>
      <c r="G17" s="250">
        <f>G16+1.7/4</f>
        <v>0.50263819095477391</v>
      </c>
      <c r="H17" s="251">
        <f t="shared" si="0"/>
        <v>102.68316180904523</v>
      </c>
      <c r="I17" s="445">
        <f t="shared" si="4"/>
        <v>753.70832361809039</v>
      </c>
      <c r="J17" s="293">
        <v>0.17</v>
      </c>
      <c r="K17" s="290">
        <f t="shared" si="5"/>
        <v>1.0084258419788441</v>
      </c>
      <c r="L17" s="449">
        <v>0.7</v>
      </c>
      <c r="M17" s="253">
        <f t="shared" si="1"/>
        <v>0.10594812182519502</v>
      </c>
    </row>
    <row r="18" spans="2:18">
      <c r="B18" s="79"/>
      <c r="C18" s="72">
        <v>1998</v>
      </c>
      <c r="D18" s="249">
        <v>155</v>
      </c>
      <c r="E18" s="247">
        <f t="shared" si="2"/>
        <v>962</v>
      </c>
      <c r="F18" s="215">
        <f t="shared" si="3"/>
        <v>137.11860000000001</v>
      </c>
      <c r="G18" s="250">
        <f>G17+1.7/4</f>
        <v>0.92763819095477396</v>
      </c>
      <c r="H18" s="251">
        <f t="shared" si="0"/>
        <v>136.19096180904523</v>
      </c>
      <c r="I18" s="445">
        <f t="shared" si="4"/>
        <v>889.89928542713562</v>
      </c>
      <c r="J18" s="293">
        <v>0.17</v>
      </c>
      <c r="K18" s="290">
        <f t="shared" si="5"/>
        <v>1.1739298417989195</v>
      </c>
      <c r="L18" s="449">
        <v>0.8</v>
      </c>
      <c r="M18" s="253">
        <f t="shared" si="1"/>
        <v>0.1025528331114452</v>
      </c>
    </row>
    <row r="19" spans="2:18">
      <c r="B19" s="79"/>
      <c r="C19" s="72">
        <v>1999</v>
      </c>
      <c r="D19" s="249">
        <v>201</v>
      </c>
      <c r="E19" s="247">
        <f t="shared" si="2"/>
        <v>1163</v>
      </c>
      <c r="F19" s="215">
        <f t="shared" si="3"/>
        <v>172.63640000000001</v>
      </c>
      <c r="G19" s="250">
        <f>G18+1.7/4</f>
        <v>1.352638190954774</v>
      </c>
      <c r="H19" s="251">
        <f t="shared" si="0"/>
        <v>171.28376180904525</v>
      </c>
      <c r="I19" s="445">
        <f t="shared" si="4"/>
        <v>1061.1830472361808</v>
      </c>
      <c r="J19" s="293">
        <v>0.17</v>
      </c>
      <c r="K19" s="290">
        <f t="shared" si="5"/>
        <v>1.3899583350099947</v>
      </c>
      <c r="L19" s="449">
        <v>0.9</v>
      </c>
      <c r="M19" s="253">
        <f t="shared" si="1"/>
        <v>9.6749947885855475E-2</v>
      </c>
    </row>
    <row r="20" spans="2:18">
      <c r="B20" s="79"/>
      <c r="C20" s="72">
        <v>2000</v>
      </c>
      <c r="D20" s="249">
        <v>288</v>
      </c>
      <c r="E20" s="247">
        <f t="shared" si="2"/>
        <v>1451</v>
      </c>
      <c r="F20" s="215">
        <f t="shared" si="3"/>
        <v>234.35580000000002</v>
      </c>
      <c r="G20" s="254">
        <v>1.8</v>
      </c>
      <c r="H20" s="251">
        <f t="shared" si="0"/>
        <v>232.5558</v>
      </c>
      <c r="I20" s="446">
        <v>1288</v>
      </c>
      <c r="J20" s="293">
        <v>0.17</v>
      </c>
      <c r="K20" s="290">
        <f t="shared" si="5"/>
        <v>1.659483881793</v>
      </c>
      <c r="L20" s="449">
        <v>1</v>
      </c>
      <c r="M20" s="253">
        <f t="shared" si="1"/>
        <v>8.8569189542316948E-2</v>
      </c>
    </row>
    <row r="21" spans="2:18">
      <c r="B21" s="79"/>
      <c r="C21" s="72">
        <v>2001</v>
      </c>
      <c r="D21" s="249">
        <v>391</v>
      </c>
      <c r="E21" s="247">
        <f t="shared" si="2"/>
        <v>1842</v>
      </c>
      <c r="F21" s="215">
        <f t="shared" si="3"/>
        <v>327.49020000000002</v>
      </c>
      <c r="G21" s="255">
        <v>2</v>
      </c>
      <c r="H21" s="267">
        <f t="shared" ref="H21:H32" si="6">I21-I20</f>
        <v>327</v>
      </c>
      <c r="I21" s="446">
        <v>1615</v>
      </c>
      <c r="J21" s="293">
        <v>0.17</v>
      </c>
      <c r="K21" s="290">
        <f t="shared" si="5"/>
        <v>2.041228845</v>
      </c>
      <c r="L21" s="449">
        <v>1.3</v>
      </c>
      <c r="M21" s="253">
        <f t="shared" si="1"/>
        <v>9.1826780786164394E-2</v>
      </c>
    </row>
    <row r="22" spans="2:18">
      <c r="B22" s="79"/>
      <c r="C22" s="72">
        <v>2002</v>
      </c>
      <c r="D22" s="249">
        <v>562</v>
      </c>
      <c r="E22" s="247">
        <f t="shared" si="2"/>
        <v>2404</v>
      </c>
      <c r="F22" s="215">
        <f t="shared" si="3"/>
        <v>456.56140000000005</v>
      </c>
      <c r="G22" s="255">
        <v>2.2000000000000002</v>
      </c>
      <c r="H22" s="267">
        <f t="shared" si="6"/>
        <v>454</v>
      </c>
      <c r="I22" s="446">
        <v>2069</v>
      </c>
      <c r="J22" s="293">
        <v>0.17</v>
      </c>
      <c r="K22" s="290">
        <f t="shared" si="5"/>
        <v>2.5758452699999999</v>
      </c>
      <c r="L22" s="449">
        <v>1.6</v>
      </c>
      <c r="M22" s="253">
        <f t="shared" si="1"/>
        <v>8.8218166171487075E-2</v>
      </c>
    </row>
    <row r="23" spans="2:18">
      <c r="B23" s="79"/>
      <c r="C23" s="72">
        <v>2003</v>
      </c>
      <c r="D23" s="249">
        <v>761</v>
      </c>
      <c r="E23" s="256">
        <v>3165</v>
      </c>
      <c r="F23" s="215">
        <f t="shared" si="3"/>
        <v>638.29660000000001</v>
      </c>
      <c r="G23" s="255">
        <v>2.5</v>
      </c>
      <c r="H23" s="267">
        <f t="shared" si="6"/>
        <v>566</v>
      </c>
      <c r="I23" s="446">
        <v>2635</v>
      </c>
      <c r="J23" s="293">
        <v>0.17</v>
      </c>
      <c r="K23" s="290">
        <f t="shared" si="5"/>
        <v>3.29413131</v>
      </c>
      <c r="L23" s="449">
        <v>2</v>
      </c>
      <c r="M23" s="253">
        <f t="shared" si="1"/>
        <v>8.6586046398864677E-2</v>
      </c>
    </row>
    <row r="24" spans="2:18">
      <c r="B24" s="79"/>
      <c r="C24" s="72">
        <v>2004</v>
      </c>
      <c r="D24" s="257">
        <v>1194</v>
      </c>
      <c r="E24" s="247">
        <f t="shared" ref="E24:E29" si="7">E23+D24</f>
        <v>4359</v>
      </c>
      <c r="F24" s="258">
        <v>927</v>
      </c>
      <c r="G24" s="255">
        <v>4</v>
      </c>
      <c r="H24" s="267">
        <f t="shared" si="6"/>
        <v>1088</v>
      </c>
      <c r="I24" s="446">
        <v>3723</v>
      </c>
      <c r="J24" s="292">
        <v>0.17</v>
      </c>
      <c r="K24" s="290">
        <f t="shared" si="5"/>
        <v>4.33206954</v>
      </c>
      <c r="L24" s="449">
        <v>2.6</v>
      </c>
      <c r="M24" s="253">
        <f t="shared" si="1"/>
        <v>7.9667070088453126E-2</v>
      </c>
    </row>
    <row r="25" spans="2:18">
      <c r="B25" s="79"/>
      <c r="C25" s="72">
        <v>2005</v>
      </c>
      <c r="D25" s="259">
        <v>1727</v>
      </c>
      <c r="E25" s="247">
        <f t="shared" si="7"/>
        <v>6086</v>
      </c>
      <c r="F25" s="260">
        <v>1466</v>
      </c>
      <c r="G25" s="255">
        <v>6.5</v>
      </c>
      <c r="H25" s="267">
        <f t="shared" si="6"/>
        <v>1389</v>
      </c>
      <c r="I25" s="446">
        <v>5112</v>
      </c>
      <c r="J25" s="294">
        <f>J24+0.04/4</f>
        <v>0.18000000000000002</v>
      </c>
      <c r="K25" s="290">
        <f t="shared" si="5"/>
        <v>6.4223660700000016</v>
      </c>
      <c r="L25" s="449">
        <v>3.7</v>
      </c>
      <c r="M25" s="253">
        <f t="shared" si="1"/>
        <v>8.256755275486416E-2</v>
      </c>
    </row>
    <row r="26" spans="2:18">
      <c r="B26" s="79"/>
      <c r="C26" s="72">
        <v>2006</v>
      </c>
      <c r="D26" s="261">
        <v>2204</v>
      </c>
      <c r="E26" s="247">
        <f t="shared" si="7"/>
        <v>8290</v>
      </c>
      <c r="F26" s="260">
        <v>1744</v>
      </c>
      <c r="G26" s="255">
        <v>7.8</v>
      </c>
      <c r="H26" s="267">
        <f t="shared" si="6"/>
        <v>1548</v>
      </c>
      <c r="I26" s="446">
        <v>6660</v>
      </c>
      <c r="J26" s="294">
        <f>J25+0.04/4</f>
        <v>0.19000000000000003</v>
      </c>
      <c r="K26" s="290">
        <f t="shared" si="5"/>
        <v>9.1588044600000007</v>
      </c>
      <c r="L26" s="449">
        <v>5</v>
      </c>
      <c r="M26" s="253">
        <f t="shared" si="1"/>
        <v>8.5643480578456624E-2</v>
      </c>
    </row>
    <row r="27" spans="2:18">
      <c r="B27" s="79"/>
      <c r="C27" s="136">
        <v>2007</v>
      </c>
      <c r="D27" s="262">
        <v>3436</v>
      </c>
      <c r="E27" s="247">
        <f t="shared" si="7"/>
        <v>11726</v>
      </c>
      <c r="F27" s="262">
        <v>2826</v>
      </c>
      <c r="G27" s="255">
        <v>9.1</v>
      </c>
      <c r="H27" s="267">
        <f t="shared" si="6"/>
        <v>2523</v>
      </c>
      <c r="I27" s="446">
        <v>9183</v>
      </c>
      <c r="J27" s="294">
        <f>J26+0.04/4</f>
        <v>0.20000000000000004</v>
      </c>
      <c r="K27" s="290">
        <f t="shared" si="5"/>
        <v>12.782142900000002</v>
      </c>
      <c r="L27" s="449">
        <v>6.7</v>
      </c>
      <c r="M27" s="253">
        <f t="shared" si="1"/>
        <v>8.323169749258176E-2</v>
      </c>
    </row>
    <row r="28" spans="2:18">
      <c r="B28" s="79"/>
      <c r="C28" s="136">
        <v>2008</v>
      </c>
      <c r="D28" s="262">
        <v>6850</v>
      </c>
      <c r="E28" s="247">
        <f t="shared" si="7"/>
        <v>18576</v>
      </c>
      <c r="F28" s="262">
        <v>5950</v>
      </c>
      <c r="G28" s="255">
        <v>17.2</v>
      </c>
      <c r="H28" s="267">
        <f t="shared" si="6"/>
        <v>6661</v>
      </c>
      <c r="I28" s="446">
        <v>15844</v>
      </c>
      <c r="J28" s="295">
        <v>0.21</v>
      </c>
      <c r="K28" s="290">
        <f t="shared" si="5"/>
        <v>19.970109494999996</v>
      </c>
      <c r="L28" s="449">
        <v>11.2</v>
      </c>
      <c r="M28" s="253">
        <f t="shared" si="1"/>
        <v>8.0640223470187275E-2</v>
      </c>
    </row>
    <row r="29" spans="2:18">
      <c r="B29" s="79"/>
      <c r="C29" s="136">
        <v>2009</v>
      </c>
      <c r="D29" s="262">
        <v>9340</v>
      </c>
      <c r="E29" s="247">
        <f t="shared" si="7"/>
        <v>27916</v>
      </c>
      <c r="F29" s="262">
        <v>7500</v>
      </c>
      <c r="G29" s="264">
        <v>21.5</v>
      </c>
      <c r="H29" s="267">
        <f t="shared" si="6"/>
        <v>7341</v>
      </c>
      <c r="I29" s="446">
        <v>23185</v>
      </c>
      <c r="J29" s="296">
        <v>0.21</v>
      </c>
      <c r="K29" s="290">
        <f t="shared" si="5"/>
        <v>32.545024155</v>
      </c>
      <c r="L29" s="449">
        <v>19.100000000000001</v>
      </c>
      <c r="M29" s="253">
        <f t="shared" si="1"/>
        <v>9.3977697567074858E-2</v>
      </c>
    </row>
    <row r="30" spans="2:18">
      <c r="B30" s="197"/>
      <c r="C30" s="136">
        <v>2010</v>
      </c>
      <c r="D30" s="265"/>
      <c r="E30" s="248"/>
      <c r="F30" s="266">
        <v>17500</v>
      </c>
      <c r="G30" s="136">
        <v>22.8</v>
      </c>
      <c r="H30" s="267">
        <f t="shared" si="6"/>
        <v>17151</v>
      </c>
      <c r="I30" s="447">
        <v>40336</v>
      </c>
      <c r="J30" s="297">
        <v>0.21</v>
      </c>
      <c r="K30" s="291">
        <f t="shared" si="5"/>
        <v>50.573486564999996</v>
      </c>
      <c r="L30" s="449">
        <v>30.4</v>
      </c>
      <c r="M30" s="253">
        <f t="shared" si="1"/>
        <v>8.5976406445044826E-2</v>
      </c>
    </row>
    <row r="31" spans="2:18">
      <c r="B31" s="197"/>
      <c r="C31" s="136">
        <v>2011</v>
      </c>
      <c r="D31" s="265"/>
      <c r="E31" s="248"/>
      <c r="F31" s="268">
        <f>26800*1.04</f>
        <v>27872</v>
      </c>
      <c r="G31" s="136">
        <v>26</v>
      </c>
      <c r="H31" s="267">
        <f t="shared" si="6"/>
        <v>30133</v>
      </c>
      <c r="I31" s="447">
        <v>70469</v>
      </c>
      <c r="J31" s="297">
        <v>0.21</v>
      </c>
      <c r="K31" s="291">
        <f t="shared" si="5"/>
        <v>88.120587554999986</v>
      </c>
      <c r="L31" s="449">
        <v>58.7</v>
      </c>
      <c r="M31" s="253">
        <f t="shared" si="1"/>
        <v>9.5025141790866879E-2</v>
      </c>
      <c r="N31" s="269"/>
      <c r="O31" s="269"/>
      <c r="P31" s="269"/>
      <c r="Q31" s="269"/>
      <c r="R31" s="269"/>
    </row>
    <row r="32" spans="2:18">
      <c r="B32" s="79"/>
      <c r="C32" s="136">
        <v>2012</v>
      </c>
      <c r="D32" s="79"/>
      <c r="E32" s="73"/>
      <c r="F32" s="79"/>
      <c r="G32" s="72"/>
      <c r="H32" s="267">
        <f t="shared" si="6"/>
        <v>30035</v>
      </c>
      <c r="I32" s="446">
        <v>100504</v>
      </c>
      <c r="J32" s="297">
        <v>0.21</v>
      </c>
      <c r="K32" s="291">
        <f>(I32-H32+H32/4)*J32*8766/10^6</f>
        <v>143.54612086500001</v>
      </c>
      <c r="L32" s="449">
        <v>93</v>
      </c>
      <c r="M32" s="253">
        <f>L32*1000000/(8766*I32)</f>
        <v>0.10555969712784459</v>
      </c>
      <c r="N32" s="269"/>
      <c r="O32" s="269"/>
      <c r="P32" s="269"/>
    </row>
    <row r="33" spans="2:13" ht="14" thickBot="1">
      <c r="B33" s="83"/>
      <c r="C33" s="100">
        <v>2013</v>
      </c>
      <c r="D33" s="83"/>
      <c r="E33" s="84"/>
      <c r="F33" s="83"/>
      <c r="G33" s="100"/>
      <c r="H33" s="270">
        <f>I33-I32</f>
        <v>38352</v>
      </c>
      <c r="I33" s="448">
        <v>138856</v>
      </c>
      <c r="J33" s="298">
        <v>0.21</v>
      </c>
      <c r="K33" s="299">
        <f>(I33-H33+H33/4)*J33*8766/10^6</f>
        <v>202.66395912000002</v>
      </c>
      <c r="L33" s="450">
        <v>124.8</v>
      </c>
      <c r="M33" s="271">
        <f>L33*1000000/(8766*I33)</f>
        <v>0.10252941243509051</v>
      </c>
    </row>
    <row r="34" spans="2:13">
      <c r="I34" s="272"/>
    </row>
    <row r="35" spans="2:13">
      <c r="B35" s="68" t="s">
        <v>250</v>
      </c>
    </row>
    <row r="36" spans="2:13" ht="14" thickBot="1">
      <c r="B36" s="68"/>
    </row>
    <row r="37" spans="2:13" ht="14" thickBot="1">
      <c r="B37" s="273" t="s">
        <v>65</v>
      </c>
      <c r="C37" s="187"/>
      <c r="D37" s="187"/>
      <c r="E37" s="187"/>
      <c r="F37" s="187"/>
      <c r="G37" s="187"/>
      <c r="H37" s="187"/>
      <c r="I37" s="187"/>
      <c r="J37" s="187"/>
      <c r="K37" s="187"/>
      <c r="L37" s="187"/>
      <c r="M37" s="274"/>
    </row>
    <row r="38" spans="2:13">
      <c r="B38" s="275" t="s">
        <v>43</v>
      </c>
      <c r="C38" s="72"/>
      <c r="D38" s="79" t="s">
        <v>3</v>
      </c>
      <c r="E38" s="72"/>
      <c r="F38" s="72"/>
      <c r="G38" s="72"/>
      <c r="H38" s="72"/>
      <c r="I38" s="72"/>
      <c r="J38" s="72"/>
      <c r="K38" s="72"/>
      <c r="L38" s="72"/>
      <c r="M38" s="73"/>
    </row>
    <row r="39" spans="2:13">
      <c r="B39" s="275"/>
      <c r="C39" s="72"/>
      <c r="D39" s="276" t="s">
        <v>52</v>
      </c>
      <c r="E39" s="72"/>
      <c r="F39" s="72"/>
      <c r="G39" s="72"/>
      <c r="H39" s="136"/>
      <c r="I39" s="72"/>
      <c r="J39" s="72"/>
      <c r="K39" s="72"/>
      <c r="L39" s="72"/>
      <c r="M39" s="73"/>
    </row>
    <row r="40" spans="2:13">
      <c r="B40" s="79"/>
      <c r="C40" s="72"/>
      <c r="D40" s="79"/>
      <c r="E40" s="72"/>
      <c r="F40" s="72"/>
      <c r="G40" s="72"/>
      <c r="H40" s="72"/>
      <c r="I40" s="72"/>
      <c r="J40" s="72"/>
      <c r="K40" s="72"/>
      <c r="L40" s="72"/>
      <c r="M40" s="73"/>
    </row>
    <row r="41" spans="2:13">
      <c r="B41" s="118" t="s">
        <v>43</v>
      </c>
      <c r="C41" s="72"/>
      <c r="D41" s="79" t="s">
        <v>13</v>
      </c>
      <c r="E41" s="72"/>
      <c r="F41" s="72"/>
      <c r="G41" s="72"/>
      <c r="H41" s="72"/>
      <c r="I41" s="72"/>
      <c r="J41" s="72"/>
      <c r="K41" s="72"/>
      <c r="L41" s="72"/>
      <c r="M41" s="73"/>
    </row>
    <row r="42" spans="2:13">
      <c r="B42" s="79"/>
      <c r="C42" s="72"/>
      <c r="D42" s="79" t="s">
        <v>14</v>
      </c>
      <c r="E42" s="72"/>
      <c r="F42" s="72"/>
      <c r="G42" s="72"/>
      <c r="H42" s="72"/>
      <c r="I42" s="72"/>
      <c r="J42" s="72"/>
      <c r="K42" s="72"/>
      <c r="L42" s="72"/>
      <c r="M42" s="73"/>
    </row>
    <row r="43" spans="2:13">
      <c r="B43" s="79"/>
      <c r="C43" s="72"/>
      <c r="D43" s="79"/>
      <c r="E43" s="72"/>
      <c r="F43" s="72"/>
      <c r="G43" s="72"/>
      <c r="H43" s="72"/>
      <c r="I43" s="72"/>
      <c r="J43" s="72"/>
      <c r="K43" s="72"/>
      <c r="L43" s="72"/>
      <c r="M43" s="73"/>
    </row>
    <row r="44" spans="2:13">
      <c r="B44" s="277" t="s">
        <v>43</v>
      </c>
      <c r="C44" s="72"/>
      <c r="D44" s="79" t="s">
        <v>2</v>
      </c>
      <c r="E44" s="72"/>
      <c r="F44" s="72"/>
      <c r="G44" s="72"/>
      <c r="H44" s="72"/>
      <c r="I44" s="72"/>
      <c r="J44" s="72"/>
      <c r="K44" s="72"/>
      <c r="L44" s="72"/>
      <c r="M44" s="73"/>
    </row>
    <row r="45" spans="2:13">
      <c r="B45" s="278"/>
      <c r="C45" s="72"/>
      <c r="D45" s="79" t="s">
        <v>4</v>
      </c>
      <c r="E45" s="72"/>
      <c r="F45" s="72"/>
      <c r="G45" s="72"/>
      <c r="H45" s="72"/>
      <c r="I45" s="72"/>
      <c r="J45" s="72"/>
      <c r="K45" s="72"/>
      <c r="L45" s="72"/>
      <c r="M45" s="73"/>
    </row>
    <row r="46" spans="2:13">
      <c r="B46" s="79"/>
      <c r="C46" s="72"/>
      <c r="D46" s="79"/>
      <c r="E46" s="72"/>
      <c r="F46" s="72"/>
      <c r="G46" s="72"/>
      <c r="H46" s="72"/>
      <c r="I46" s="72"/>
      <c r="J46" s="72"/>
      <c r="K46" s="72"/>
      <c r="L46" s="72"/>
      <c r="M46" s="73"/>
    </row>
    <row r="47" spans="2:13">
      <c r="B47" s="93" t="s">
        <v>43</v>
      </c>
      <c r="C47" s="72"/>
      <c r="D47" s="79" t="s">
        <v>0</v>
      </c>
      <c r="E47" s="72"/>
      <c r="F47" s="72"/>
      <c r="G47" s="72"/>
      <c r="H47" s="72"/>
      <c r="I47" s="72"/>
      <c r="J47" s="72"/>
      <c r="K47" s="72"/>
      <c r="L47" s="72"/>
      <c r="M47" s="73"/>
    </row>
    <row r="48" spans="2:13">
      <c r="B48" s="79"/>
      <c r="C48" s="72"/>
      <c r="D48" s="79" t="s">
        <v>1</v>
      </c>
      <c r="E48" s="72"/>
      <c r="F48" s="72"/>
      <c r="G48" s="72"/>
      <c r="H48" s="72"/>
      <c r="I48" s="72"/>
      <c r="J48" s="72"/>
      <c r="K48" s="72"/>
      <c r="L48" s="72"/>
      <c r="M48" s="73"/>
    </row>
    <row r="49" spans="2:13">
      <c r="B49" s="79"/>
      <c r="C49" s="72"/>
      <c r="D49" s="79"/>
      <c r="E49" s="72"/>
      <c r="F49" s="72"/>
      <c r="G49" s="72"/>
      <c r="H49" s="72"/>
      <c r="I49" s="72"/>
      <c r="J49" s="72"/>
      <c r="K49" s="72"/>
      <c r="L49" s="72"/>
      <c r="M49" s="73"/>
    </row>
    <row r="50" spans="2:13">
      <c r="B50" s="279" t="s">
        <v>43</v>
      </c>
      <c r="C50" s="72"/>
      <c r="D50" s="79" t="s">
        <v>84</v>
      </c>
      <c r="E50" s="72"/>
      <c r="F50" s="72"/>
      <c r="G50" s="72"/>
      <c r="H50" s="72"/>
      <c r="I50" s="72"/>
      <c r="J50" s="72"/>
      <c r="K50" s="72"/>
      <c r="L50" s="72"/>
      <c r="M50" s="73"/>
    </row>
    <row r="51" spans="2:13">
      <c r="B51" s="79"/>
      <c r="C51" s="72"/>
      <c r="D51" s="79"/>
      <c r="E51" s="72"/>
      <c r="F51" s="72"/>
      <c r="G51" s="72"/>
      <c r="H51" s="72"/>
      <c r="I51" s="72"/>
      <c r="J51" s="72"/>
      <c r="K51" s="72"/>
      <c r="L51" s="72"/>
      <c r="M51" s="73"/>
    </row>
    <row r="52" spans="2:13">
      <c r="B52" s="280" t="s">
        <v>43</v>
      </c>
      <c r="C52" s="72"/>
      <c r="D52" s="79" t="s">
        <v>64</v>
      </c>
      <c r="E52" s="72"/>
      <c r="F52" s="72"/>
      <c r="G52" s="72"/>
      <c r="H52" s="72"/>
      <c r="I52" s="72"/>
      <c r="J52" s="72"/>
      <c r="K52" s="72"/>
      <c r="L52" s="72"/>
      <c r="M52" s="73"/>
    </row>
    <row r="53" spans="2:13">
      <c r="B53" s="79"/>
      <c r="C53" s="72"/>
      <c r="D53" s="79" t="s">
        <v>25</v>
      </c>
      <c r="E53" s="72"/>
      <c r="F53" s="72"/>
      <c r="G53" s="72"/>
      <c r="H53" s="72"/>
      <c r="I53" s="72"/>
      <c r="J53" s="72"/>
      <c r="K53" s="72"/>
      <c r="L53" s="72"/>
      <c r="M53" s="73"/>
    </row>
    <row r="54" spans="2:13">
      <c r="B54" s="79"/>
      <c r="C54" s="72"/>
      <c r="D54" s="197" t="s">
        <v>78</v>
      </c>
      <c r="E54" s="72"/>
      <c r="F54" s="72"/>
      <c r="G54" s="72"/>
      <c r="H54" s="72"/>
      <c r="I54" s="72"/>
      <c r="J54" s="72"/>
      <c r="K54" s="72"/>
      <c r="L54" s="72"/>
      <c r="M54" s="73"/>
    </row>
    <row r="55" spans="2:13">
      <c r="B55" s="79"/>
      <c r="C55" s="72"/>
      <c r="D55" s="79"/>
      <c r="E55" s="72"/>
      <c r="F55" s="72"/>
      <c r="G55" s="72"/>
      <c r="H55" s="72"/>
      <c r="I55" s="72"/>
      <c r="J55" s="72"/>
      <c r="K55" s="72"/>
      <c r="L55" s="72"/>
      <c r="M55" s="73"/>
    </row>
    <row r="56" spans="2:13">
      <c r="B56" s="281" t="s">
        <v>43</v>
      </c>
      <c r="C56" s="72"/>
      <c r="D56" s="79" t="s">
        <v>24</v>
      </c>
      <c r="E56" s="72"/>
      <c r="F56" s="72"/>
      <c r="G56" s="72"/>
      <c r="H56" s="72"/>
      <c r="I56" s="72"/>
      <c r="J56" s="72"/>
      <c r="K56" s="72"/>
      <c r="L56" s="72"/>
      <c r="M56" s="73"/>
    </row>
    <row r="57" spans="2:13">
      <c r="B57" s="79"/>
      <c r="C57" s="72"/>
      <c r="D57" s="79" t="s">
        <v>23</v>
      </c>
      <c r="E57" s="72"/>
      <c r="F57" s="72"/>
      <c r="G57" s="72"/>
      <c r="H57" s="72"/>
      <c r="I57" s="72"/>
      <c r="J57" s="72"/>
      <c r="K57" s="72"/>
      <c r="L57" s="72"/>
      <c r="M57" s="73"/>
    </row>
    <row r="58" spans="2:13">
      <c r="B58" s="79"/>
      <c r="C58" s="72"/>
      <c r="D58" s="79"/>
      <c r="E58" s="72"/>
      <c r="F58" s="72"/>
      <c r="G58" s="72"/>
      <c r="H58" s="72"/>
      <c r="I58" s="72"/>
      <c r="J58" s="72"/>
      <c r="K58" s="72"/>
      <c r="L58" s="72"/>
      <c r="M58" s="73"/>
    </row>
    <row r="59" spans="2:13">
      <c r="B59" s="282" t="s">
        <v>43</v>
      </c>
      <c r="C59" s="72"/>
      <c r="D59" s="197" t="s">
        <v>10</v>
      </c>
      <c r="E59" s="72"/>
      <c r="F59" s="72"/>
      <c r="G59" s="72"/>
      <c r="H59" s="72"/>
      <c r="I59" s="72"/>
      <c r="J59" s="72"/>
      <c r="K59" s="72"/>
      <c r="L59" s="72"/>
      <c r="M59" s="73"/>
    </row>
    <row r="60" spans="2:13">
      <c r="B60" s="282"/>
      <c r="C60" s="72"/>
      <c r="D60" s="197" t="s">
        <v>55</v>
      </c>
      <c r="E60" s="72"/>
      <c r="F60" s="72"/>
      <c r="G60" s="72"/>
      <c r="H60" s="72"/>
      <c r="I60" s="72"/>
      <c r="J60" s="72"/>
      <c r="K60" s="72"/>
      <c r="L60" s="72"/>
      <c r="M60" s="73"/>
    </row>
    <row r="61" spans="2:13">
      <c r="B61" s="282"/>
      <c r="C61" s="72"/>
      <c r="D61" s="197"/>
      <c r="E61" s="72"/>
      <c r="F61" s="72"/>
      <c r="G61" s="72"/>
      <c r="H61" s="72"/>
      <c r="I61" s="72"/>
      <c r="J61" s="72"/>
      <c r="K61" s="72"/>
      <c r="L61" s="72"/>
      <c r="M61" s="73"/>
    </row>
    <row r="62" spans="2:13">
      <c r="B62" s="287" t="s">
        <v>43</v>
      </c>
      <c r="C62" s="288"/>
      <c r="D62" s="197" t="s">
        <v>209</v>
      </c>
      <c r="E62" s="136"/>
      <c r="F62" s="136"/>
      <c r="G62" s="136"/>
      <c r="H62" s="136"/>
      <c r="I62" s="136"/>
      <c r="J62" s="136"/>
      <c r="K62" s="136"/>
      <c r="L62" s="136"/>
      <c r="M62" s="248"/>
    </row>
    <row r="63" spans="2:13">
      <c r="B63" s="286"/>
      <c r="C63" s="136"/>
      <c r="D63" s="197" t="s">
        <v>210</v>
      </c>
      <c r="E63" s="136"/>
      <c r="F63" s="136"/>
      <c r="G63" s="136"/>
      <c r="H63" s="136"/>
      <c r="I63" s="136"/>
      <c r="J63" s="136"/>
      <c r="K63" s="136"/>
      <c r="L63" s="136"/>
      <c r="M63" s="248"/>
    </row>
    <row r="64" spans="2:13">
      <c r="B64" s="263"/>
      <c r="C64" s="72"/>
      <c r="D64" s="197"/>
      <c r="E64" s="72"/>
      <c r="F64" s="72"/>
      <c r="G64" s="72"/>
      <c r="H64" s="72"/>
      <c r="I64" s="72"/>
      <c r="J64" s="72"/>
      <c r="K64" s="72"/>
      <c r="L64" s="72"/>
      <c r="M64" s="73"/>
    </row>
    <row r="65" spans="2:13">
      <c r="B65" s="252" t="s">
        <v>41</v>
      </c>
      <c r="C65" s="72"/>
      <c r="D65" s="79" t="s">
        <v>39</v>
      </c>
      <c r="E65" s="72"/>
      <c r="F65" s="72"/>
      <c r="G65" s="72"/>
      <c r="H65" s="72"/>
      <c r="I65" s="72"/>
      <c r="J65" s="72"/>
      <c r="K65" s="72"/>
      <c r="L65" s="72"/>
      <c r="M65" s="73"/>
    </row>
    <row r="66" spans="2:13">
      <c r="B66" s="252"/>
      <c r="C66" s="72"/>
      <c r="D66" s="79"/>
      <c r="E66" s="72"/>
      <c r="F66" s="72"/>
      <c r="G66" s="72"/>
      <c r="H66" s="72"/>
      <c r="I66" s="72"/>
      <c r="J66" s="72"/>
      <c r="K66" s="72"/>
      <c r="L66" s="72"/>
      <c r="M66" s="73"/>
    </row>
    <row r="67" spans="2:13">
      <c r="B67" s="263" t="s">
        <v>47</v>
      </c>
      <c r="C67" s="72"/>
      <c r="D67" s="197" t="s">
        <v>48</v>
      </c>
      <c r="E67" s="72"/>
      <c r="F67" s="72"/>
      <c r="G67" s="72"/>
      <c r="H67" s="72"/>
      <c r="I67" s="72"/>
      <c r="J67" s="72"/>
      <c r="K67" s="72"/>
      <c r="L67" s="72"/>
      <c r="M67" s="73"/>
    </row>
    <row r="68" spans="2:13">
      <c r="B68" s="284"/>
      <c r="C68" s="72"/>
      <c r="D68" s="79" t="s">
        <v>49</v>
      </c>
      <c r="E68" s="72"/>
      <c r="F68" s="72"/>
      <c r="G68" s="72"/>
      <c r="H68" s="72"/>
      <c r="I68" s="72"/>
      <c r="J68" s="72"/>
      <c r="K68" s="72"/>
      <c r="L68" s="72"/>
      <c r="M68" s="73"/>
    </row>
    <row r="69" spans="2:13">
      <c r="B69" s="284"/>
      <c r="C69" s="72"/>
      <c r="D69" s="79"/>
      <c r="E69" s="72"/>
      <c r="F69" s="72"/>
      <c r="G69" s="72"/>
      <c r="H69" s="72"/>
      <c r="I69" s="72"/>
      <c r="J69" s="72"/>
      <c r="K69" s="72"/>
      <c r="L69" s="72"/>
      <c r="M69" s="73"/>
    </row>
    <row r="70" spans="2:13">
      <c r="B70" s="243" t="s">
        <v>203</v>
      </c>
      <c r="C70" s="72"/>
      <c r="D70" s="89" t="s">
        <v>199</v>
      </c>
      <c r="E70" s="72"/>
      <c r="F70" s="72"/>
      <c r="G70" s="72"/>
      <c r="H70" s="72"/>
      <c r="I70" s="72"/>
      <c r="J70" s="72"/>
      <c r="K70" s="72"/>
      <c r="L70" s="72"/>
      <c r="M70" s="73"/>
    </row>
    <row r="71" spans="2:13">
      <c r="B71" s="284"/>
      <c r="C71" s="72"/>
      <c r="D71" s="205" t="s">
        <v>200</v>
      </c>
      <c r="E71" s="72"/>
      <c r="F71" s="72"/>
      <c r="G71" s="72"/>
      <c r="H71" s="72"/>
      <c r="I71" s="72"/>
      <c r="J71" s="72"/>
      <c r="K71" s="72"/>
      <c r="L71" s="72"/>
      <c r="M71" s="73"/>
    </row>
    <row r="72" spans="2:13" ht="14" thickBot="1">
      <c r="B72" s="305"/>
      <c r="C72" s="100"/>
      <c r="D72" s="83"/>
      <c r="E72" s="100"/>
      <c r="F72" s="100"/>
      <c r="G72" s="100"/>
      <c r="H72" s="100"/>
      <c r="I72" s="100"/>
      <c r="J72" s="100"/>
      <c r="K72" s="100"/>
      <c r="L72" s="100"/>
      <c r="M72" s="84"/>
    </row>
    <row r="73" spans="2:13">
      <c r="B73" s="72"/>
      <c r="C73" s="72"/>
      <c r="D73" s="72"/>
      <c r="E73" s="72"/>
      <c r="F73" s="72"/>
      <c r="G73" s="72"/>
      <c r="H73" s="72"/>
      <c r="I73" s="72"/>
      <c r="J73" s="72"/>
    </row>
  </sheetData>
  <mergeCells count="1">
    <mergeCell ref="B6:M6"/>
  </mergeCells>
  <phoneticPr fontId="7"/>
  <hyperlinks>
    <hyperlink ref="D39" r:id="rId1"/>
  </hyperlinks>
  <pageMargins left="0.75" right="0.75" top="1" bottom="1" header="0.5" footer="0.5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8" tint="0.39997558519241921"/>
    <pageSetUpPr fitToPage="1"/>
  </sheetPr>
  <dimension ref="B2:K93"/>
  <sheetViews>
    <sheetView showGridLines="0" workbookViewId="0">
      <selection activeCell="N20" sqref="N20"/>
    </sheetView>
  </sheetViews>
  <sheetFormatPr baseColWidth="10" defaultColWidth="11" defaultRowHeight="13" x14ac:dyDescent="0"/>
  <cols>
    <col min="1" max="1" width="2.28515625" style="69" customWidth="1"/>
    <col min="2" max="2" width="11.28515625" style="69" customWidth="1"/>
    <col min="3" max="3" width="11.85546875" style="69" customWidth="1"/>
    <col min="4" max="4" width="10.7109375" style="69" customWidth="1"/>
    <col min="5" max="5" width="11" style="69"/>
    <col min="6" max="6" width="16.85546875" style="69" customWidth="1"/>
    <col min="7" max="7" width="11" style="69"/>
    <col min="8" max="8" width="6.85546875" style="69" customWidth="1"/>
    <col min="9" max="9" width="12.85546875" style="69" customWidth="1"/>
    <col min="10" max="10" width="11.42578125" style="69" customWidth="1"/>
    <col min="11" max="11" width="10.28515625" style="69" customWidth="1"/>
    <col min="12" max="12" width="15.85546875" style="69" customWidth="1"/>
    <col min="13" max="13" width="7.28515625" style="69" customWidth="1"/>
    <col min="14" max="16384" width="11" style="69"/>
  </cols>
  <sheetData>
    <row r="2" spans="2:11">
      <c r="B2" s="68" t="s">
        <v>212</v>
      </c>
    </row>
    <row r="3" spans="2:11" ht="14" thickBot="1">
      <c r="B3" s="68" t="s">
        <v>195</v>
      </c>
    </row>
    <row r="4" spans="2:11" ht="14" thickBot="1">
      <c r="B4" s="430"/>
      <c r="C4" s="68" t="s">
        <v>254</v>
      </c>
      <c r="D4" s="68"/>
      <c r="E4" s="68"/>
      <c r="F4" s="68"/>
      <c r="G4" s="68"/>
      <c r="H4" s="68"/>
      <c r="I4" s="68"/>
      <c r="J4" s="68"/>
    </row>
    <row r="5" spans="2:11" ht="14" thickBot="1"/>
    <row r="6" spans="2:11" ht="14" thickBot="1">
      <c r="B6" s="479" t="s">
        <v>176</v>
      </c>
      <c r="C6" s="480"/>
      <c r="D6" s="480"/>
      <c r="E6" s="480"/>
      <c r="F6" s="481"/>
      <c r="H6" s="485" t="s">
        <v>166</v>
      </c>
      <c r="I6" s="486"/>
      <c r="J6" s="486"/>
      <c r="K6" s="481"/>
    </row>
    <row r="7" spans="2:11">
      <c r="B7" s="176"/>
      <c r="C7" s="306" t="s">
        <v>56</v>
      </c>
      <c r="D7" s="307" t="s">
        <v>92</v>
      </c>
      <c r="E7" s="308" t="s">
        <v>43</v>
      </c>
      <c r="F7" s="307" t="s">
        <v>172</v>
      </c>
      <c r="H7" s="176"/>
      <c r="I7" s="308" t="s">
        <v>174</v>
      </c>
      <c r="J7" s="307" t="s">
        <v>171</v>
      </c>
      <c r="K7" s="307" t="s">
        <v>175</v>
      </c>
    </row>
    <row r="8" spans="2:11">
      <c r="B8" s="177"/>
      <c r="C8" s="309" t="s">
        <v>167</v>
      </c>
      <c r="D8" s="310" t="s">
        <v>143</v>
      </c>
      <c r="E8" s="311" t="s">
        <v>144</v>
      </c>
      <c r="F8" s="310" t="s">
        <v>169</v>
      </c>
      <c r="H8" s="177"/>
      <c r="I8" s="311"/>
      <c r="J8" s="310" t="s">
        <v>173</v>
      </c>
      <c r="K8" s="310" t="s">
        <v>173</v>
      </c>
    </row>
    <row r="9" spans="2:11" ht="14" thickBot="1">
      <c r="B9" s="285"/>
      <c r="C9" s="312" t="s">
        <v>168</v>
      </c>
      <c r="D9" s="313" t="s">
        <v>168</v>
      </c>
      <c r="E9" s="314"/>
      <c r="F9" s="313" t="s">
        <v>170</v>
      </c>
      <c r="H9" s="285"/>
      <c r="I9" s="314" t="s">
        <v>170</v>
      </c>
      <c r="J9" s="313" t="s">
        <v>170</v>
      </c>
      <c r="K9" s="313" t="s">
        <v>170</v>
      </c>
    </row>
    <row r="10" spans="2:11">
      <c r="B10" s="79">
        <v>2000</v>
      </c>
      <c r="C10" s="79"/>
      <c r="D10" s="451">
        <v>131.05099999999999</v>
      </c>
      <c r="E10" s="414">
        <v>0.4</v>
      </c>
      <c r="F10" s="453">
        <f>D10*8766*E10/1000</f>
        <v>459.51722639999997</v>
      </c>
      <c r="H10" s="74">
        <v>2000</v>
      </c>
      <c r="I10" s="329">
        <v>2662.2012807840401</v>
      </c>
      <c r="J10" s="289">
        <f>F10</f>
        <v>459.51722639999997</v>
      </c>
      <c r="K10" s="289">
        <f>I10-J10</f>
        <v>2202.6840543840403</v>
      </c>
    </row>
    <row r="11" spans="2:11">
      <c r="B11" s="79">
        <v>2001</v>
      </c>
      <c r="C11" s="79">
        <f>D11-D10</f>
        <v>2.1380000000000052</v>
      </c>
      <c r="D11" s="451">
        <v>133.18899999999999</v>
      </c>
      <c r="E11" s="414">
        <v>0.4</v>
      </c>
      <c r="F11" s="453">
        <f t="shared" ref="F11:F23" si="0">(D10+C11/4)*8766*E11/1000</f>
        <v>461.39139720000003</v>
      </c>
      <c r="H11" s="74">
        <v>2001</v>
      </c>
      <c r="I11" s="329">
        <v>2594.3767283717398</v>
      </c>
      <c r="J11" s="289">
        <f t="shared" ref="J11:J23" si="1">F11</f>
        <v>461.39139720000003</v>
      </c>
      <c r="K11" s="289">
        <f t="shared" ref="K11:K23" si="2">I11-J11</f>
        <v>2132.9853311717397</v>
      </c>
    </row>
    <row r="12" spans="2:11">
      <c r="B12" s="79">
        <v>2002</v>
      </c>
      <c r="C12" s="79">
        <f t="shared" ref="C12:C23" si="3">D12-D11</f>
        <v>3.3830000000000098</v>
      </c>
      <c r="D12" s="451">
        <v>136.572</v>
      </c>
      <c r="E12" s="414">
        <v>0.4</v>
      </c>
      <c r="F12" s="453">
        <f t="shared" si="0"/>
        <v>469.97944740000008</v>
      </c>
      <c r="H12" s="74">
        <v>2002</v>
      </c>
      <c r="I12" s="329">
        <v>2646.44870791425</v>
      </c>
      <c r="J12" s="289">
        <f t="shared" si="1"/>
        <v>469.97944740000008</v>
      </c>
      <c r="K12" s="289">
        <f t="shared" si="2"/>
        <v>2176.46926051425</v>
      </c>
    </row>
    <row r="13" spans="2:11">
      <c r="B13" s="79">
        <v>2003</v>
      </c>
      <c r="C13" s="79">
        <f t="shared" si="3"/>
        <v>3.6030000000000086</v>
      </c>
      <c r="D13" s="451">
        <v>140.17500000000001</v>
      </c>
      <c r="E13" s="414">
        <v>0.4</v>
      </c>
      <c r="F13" s="453">
        <f t="shared" si="0"/>
        <v>482.03445060000007</v>
      </c>
      <c r="H13" s="74">
        <v>2003</v>
      </c>
      <c r="I13" s="329">
        <v>2639.3115749499898</v>
      </c>
      <c r="J13" s="289">
        <f t="shared" si="1"/>
        <v>482.03445060000007</v>
      </c>
      <c r="K13" s="289">
        <f t="shared" si="2"/>
        <v>2157.2771243499897</v>
      </c>
    </row>
    <row r="14" spans="2:11">
      <c r="B14" s="79">
        <v>2004</v>
      </c>
      <c r="C14" s="79">
        <f t="shared" si="3"/>
        <v>5.0979999999999848</v>
      </c>
      <c r="D14" s="451">
        <v>145.273</v>
      </c>
      <c r="E14" s="414">
        <v>0.4</v>
      </c>
      <c r="F14" s="453">
        <f t="shared" si="0"/>
        <v>495.97852680000005</v>
      </c>
      <c r="H14" s="74">
        <v>2004</v>
      </c>
      <c r="I14" s="329">
        <v>2806.5494197008002</v>
      </c>
      <c r="J14" s="289">
        <f t="shared" si="1"/>
        <v>495.97852680000005</v>
      </c>
      <c r="K14" s="289">
        <f t="shared" si="2"/>
        <v>2310.5708929008001</v>
      </c>
    </row>
    <row r="15" spans="2:11">
      <c r="B15" s="79">
        <v>2005</v>
      </c>
      <c r="C15" s="79">
        <f t="shared" si="3"/>
        <v>4.8199999999999932</v>
      </c>
      <c r="D15" s="451">
        <v>150.09299999999999</v>
      </c>
      <c r="E15" s="414">
        <v>0.4</v>
      </c>
      <c r="F15" s="453">
        <f t="shared" si="0"/>
        <v>513.61045920000004</v>
      </c>
      <c r="H15" s="74">
        <v>2005</v>
      </c>
      <c r="I15" s="329">
        <v>2924.6223427595801</v>
      </c>
      <c r="J15" s="289">
        <f t="shared" si="1"/>
        <v>513.61045920000004</v>
      </c>
      <c r="K15" s="289">
        <f t="shared" si="2"/>
        <v>2411.0118835595799</v>
      </c>
    </row>
    <row r="16" spans="2:11">
      <c r="B16" s="79">
        <v>2006</v>
      </c>
      <c r="C16" s="79">
        <f t="shared" si="3"/>
        <v>5.5620000000000118</v>
      </c>
      <c r="D16" s="451">
        <v>155.655</v>
      </c>
      <c r="E16" s="414">
        <v>0.4</v>
      </c>
      <c r="F16" s="453">
        <f t="shared" si="0"/>
        <v>531.16174440000009</v>
      </c>
      <c r="H16" s="74">
        <v>2006</v>
      </c>
      <c r="I16" s="329">
        <v>3043.7421768024001</v>
      </c>
      <c r="J16" s="289">
        <f t="shared" si="1"/>
        <v>531.16174440000009</v>
      </c>
      <c r="K16" s="289">
        <f t="shared" si="2"/>
        <v>2512.5804324024002</v>
      </c>
    </row>
    <row r="17" spans="2:11">
      <c r="B17" s="79">
        <v>2007</v>
      </c>
      <c r="C17" s="79">
        <f t="shared" si="3"/>
        <v>5.4720000000000084</v>
      </c>
      <c r="D17" s="451">
        <v>161.12700000000001</v>
      </c>
      <c r="E17" s="414">
        <v>0.4</v>
      </c>
      <c r="F17" s="453">
        <f t="shared" si="0"/>
        <v>550.58544720000009</v>
      </c>
      <c r="H17" s="74">
        <v>2007</v>
      </c>
      <c r="I17" s="329">
        <v>3094.8298957799602</v>
      </c>
      <c r="J17" s="289">
        <f t="shared" si="1"/>
        <v>550.58544720000009</v>
      </c>
      <c r="K17" s="289">
        <f t="shared" si="2"/>
        <v>2544.2444485799601</v>
      </c>
    </row>
    <row r="18" spans="2:11">
      <c r="B18" s="79">
        <v>2008</v>
      </c>
      <c r="C18" s="79">
        <f t="shared" si="3"/>
        <v>5.4830000000000041</v>
      </c>
      <c r="D18" s="451">
        <v>166.61</v>
      </c>
      <c r="E18" s="414">
        <v>0.4</v>
      </c>
      <c r="F18" s="453">
        <f t="shared" si="0"/>
        <v>569.78211060000001</v>
      </c>
      <c r="H18" s="74">
        <v>2008</v>
      </c>
      <c r="I18" s="329">
        <v>3217.7403225729599</v>
      </c>
      <c r="J18" s="289">
        <f t="shared" si="1"/>
        <v>569.78211060000001</v>
      </c>
      <c r="K18" s="289">
        <f t="shared" si="2"/>
        <v>2647.9582119729598</v>
      </c>
    </row>
    <row r="19" spans="2:11">
      <c r="B19" s="79">
        <v>2009</v>
      </c>
      <c r="C19" s="79">
        <f t="shared" si="3"/>
        <v>5.3639999999999759</v>
      </c>
      <c r="D19" s="451">
        <v>171.97399999999999</v>
      </c>
      <c r="E19" s="414">
        <v>0.4</v>
      </c>
      <c r="F19" s="453">
        <f t="shared" si="0"/>
        <v>588.90338640000004</v>
      </c>
      <c r="H19" s="74">
        <v>2009</v>
      </c>
      <c r="I19" s="329">
        <v>3260.6753695310599</v>
      </c>
      <c r="J19" s="289">
        <f t="shared" si="1"/>
        <v>588.90338640000004</v>
      </c>
      <c r="K19" s="289">
        <f t="shared" si="2"/>
        <v>2671.7719831310596</v>
      </c>
    </row>
    <row r="20" spans="2:11">
      <c r="B20" s="79">
        <v>2010</v>
      </c>
      <c r="C20" s="79">
        <f t="shared" si="3"/>
        <v>5.7920000000000016</v>
      </c>
      <c r="D20" s="451">
        <v>177.76599999999999</v>
      </c>
      <c r="E20" s="455">
        <v>0.4</v>
      </c>
      <c r="F20" s="453">
        <f t="shared" si="0"/>
        <v>608.08690079999997</v>
      </c>
      <c r="H20" s="74">
        <v>2010</v>
      </c>
      <c r="I20" s="329">
        <v>3464.3611000093902</v>
      </c>
      <c r="J20" s="289">
        <f t="shared" si="1"/>
        <v>608.08690079999997</v>
      </c>
      <c r="K20" s="289">
        <f t="shared" si="2"/>
        <v>2856.2741992093902</v>
      </c>
    </row>
    <row r="21" spans="2:11">
      <c r="B21" s="197">
        <v>2011</v>
      </c>
      <c r="C21" s="79">
        <f t="shared" si="3"/>
        <v>4.4230000000000018</v>
      </c>
      <c r="D21" s="451">
        <v>182.18899999999999</v>
      </c>
      <c r="E21" s="414">
        <v>0.4</v>
      </c>
      <c r="F21" s="453">
        <f t="shared" si="0"/>
        <v>627.19590419999997</v>
      </c>
      <c r="H21" s="182">
        <v>2011</v>
      </c>
      <c r="I21" s="329">
        <v>3517.0600874413999</v>
      </c>
      <c r="J21" s="289">
        <f t="shared" si="1"/>
        <v>627.19590419999997</v>
      </c>
      <c r="K21" s="289">
        <f t="shared" si="2"/>
        <v>2889.8641832414</v>
      </c>
    </row>
    <row r="22" spans="2:11">
      <c r="B22" s="197">
        <v>2012</v>
      </c>
      <c r="C22" s="79">
        <f t="shared" si="3"/>
        <v>4.4170000000000016</v>
      </c>
      <c r="D22" s="451">
        <v>186.60599999999999</v>
      </c>
      <c r="E22" s="414">
        <v>0.4</v>
      </c>
      <c r="F22" s="453">
        <f t="shared" si="0"/>
        <v>642.69945180000002</v>
      </c>
      <c r="H22" s="182">
        <v>2012</v>
      </c>
      <c r="I22" s="329">
        <v>3684.1314623276098</v>
      </c>
      <c r="J22" s="289">
        <f t="shared" si="1"/>
        <v>642.69945180000002</v>
      </c>
      <c r="K22" s="289">
        <f t="shared" si="2"/>
        <v>3041.4320105276097</v>
      </c>
    </row>
    <row r="23" spans="2:11" ht="14" thickBot="1">
      <c r="B23" s="83">
        <v>2013</v>
      </c>
      <c r="C23" s="83">
        <f t="shared" si="3"/>
        <v>4.0490000000000066</v>
      </c>
      <c r="D23" s="452">
        <v>190.655</v>
      </c>
      <c r="E23" s="418">
        <v>0.4</v>
      </c>
      <c r="F23" s="454">
        <f t="shared" si="0"/>
        <v>657.8646318000001</v>
      </c>
      <c r="H23" s="202">
        <v>2013</v>
      </c>
      <c r="I23" s="330">
        <v>3782.0291307042899</v>
      </c>
      <c r="J23" s="317">
        <f t="shared" si="1"/>
        <v>657.8646318000001</v>
      </c>
      <c r="K23" s="317">
        <f t="shared" si="2"/>
        <v>3124.1644989042898</v>
      </c>
    </row>
    <row r="25" spans="2:11">
      <c r="B25" s="68" t="s">
        <v>211</v>
      </c>
    </row>
    <row r="26" spans="2:11" ht="14" thickBot="1"/>
    <row r="27" spans="2:11" ht="14" thickBot="1">
      <c r="B27" s="273" t="s">
        <v>65</v>
      </c>
      <c r="C27" s="318"/>
      <c r="D27" s="318"/>
      <c r="E27" s="318"/>
      <c r="F27" s="318"/>
      <c r="G27" s="318"/>
      <c r="H27" s="323"/>
    </row>
    <row r="28" spans="2:11">
      <c r="B28" s="320" t="s">
        <v>43</v>
      </c>
      <c r="C28" s="70" t="s">
        <v>219</v>
      </c>
      <c r="D28" s="70"/>
      <c r="E28" s="70"/>
      <c r="F28" s="70"/>
      <c r="G28" s="70"/>
      <c r="H28" s="234"/>
    </row>
    <row r="29" spans="2:11">
      <c r="B29" s="74"/>
      <c r="C29" s="72"/>
      <c r="D29" s="72"/>
      <c r="E29" s="72"/>
      <c r="F29" s="72"/>
      <c r="G29" s="72"/>
      <c r="H29" s="73"/>
    </row>
    <row r="30" spans="2:11">
      <c r="B30" s="322" t="s">
        <v>220</v>
      </c>
      <c r="C30" s="72" t="s">
        <v>221</v>
      </c>
      <c r="D30" s="72"/>
      <c r="E30" s="72"/>
      <c r="F30" s="72"/>
      <c r="G30" s="72"/>
      <c r="H30" s="73"/>
    </row>
    <row r="31" spans="2:11">
      <c r="B31" s="74"/>
      <c r="C31" s="72" t="s">
        <v>222</v>
      </c>
      <c r="D31" s="72"/>
      <c r="E31" s="72"/>
      <c r="F31" s="72"/>
      <c r="G31" s="72"/>
      <c r="H31" s="73"/>
    </row>
    <row r="32" spans="2:11">
      <c r="B32" s="74"/>
      <c r="C32" s="72"/>
      <c r="D32" s="72"/>
      <c r="E32" s="72"/>
      <c r="F32" s="72"/>
      <c r="G32" s="72"/>
      <c r="H32" s="73"/>
    </row>
    <row r="33" spans="2:8">
      <c r="B33" s="243" t="s">
        <v>203</v>
      </c>
      <c r="C33" s="325" t="s">
        <v>199</v>
      </c>
      <c r="D33" s="72"/>
      <c r="E33" s="72"/>
      <c r="F33" s="72"/>
      <c r="G33" s="72"/>
      <c r="H33" s="73"/>
    </row>
    <row r="34" spans="2:8">
      <c r="B34" s="327"/>
      <c r="C34" s="326" t="s">
        <v>200</v>
      </c>
      <c r="D34" s="72"/>
      <c r="E34" s="72"/>
      <c r="F34" s="72"/>
      <c r="G34" s="72"/>
      <c r="H34" s="324"/>
    </row>
    <row r="35" spans="2:8" ht="14" thickBot="1">
      <c r="B35" s="328"/>
      <c r="C35" s="100"/>
      <c r="D35" s="100"/>
      <c r="E35" s="100"/>
      <c r="F35" s="100"/>
      <c r="G35" s="100"/>
      <c r="H35" s="84"/>
    </row>
    <row r="70" spans="2:6">
      <c r="B70" s="78"/>
      <c r="C70" s="78"/>
      <c r="D70" s="78"/>
      <c r="E70" s="78"/>
      <c r="F70" s="78"/>
    </row>
    <row r="72" spans="2:6" ht="14" customHeight="1"/>
    <row r="92" spans="2:10">
      <c r="B92" s="72"/>
      <c r="C92" s="72"/>
      <c r="D92" s="72"/>
      <c r="E92" s="72"/>
      <c r="F92" s="72"/>
    </row>
    <row r="93" spans="2:10">
      <c r="G93" s="72"/>
      <c r="H93" s="72"/>
      <c r="I93" s="72"/>
      <c r="J93" s="72"/>
    </row>
  </sheetData>
  <mergeCells count="2">
    <mergeCell ref="B6:F6"/>
    <mergeCell ref="H6:K6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8" tint="0.39997558519241921"/>
  </sheetPr>
  <dimension ref="B2:J46"/>
  <sheetViews>
    <sheetView showGridLines="0" workbookViewId="0">
      <selection activeCell="J21" sqref="J21"/>
    </sheetView>
  </sheetViews>
  <sheetFormatPr baseColWidth="10" defaultColWidth="11" defaultRowHeight="13" x14ac:dyDescent="0"/>
  <cols>
    <col min="1" max="1" width="4.5703125" style="69" customWidth="1"/>
    <col min="2" max="2" width="13.140625" style="69" customWidth="1"/>
    <col min="3" max="3" width="10.85546875" style="69" customWidth="1"/>
    <col min="4" max="4" width="11" style="69" customWidth="1"/>
    <col min="5" max="5" width="14" style="69" customWidth="1"/>
    <col min="6" max="6" width="9.28515625" style="69" customWidth="1"/>
    <col min="7" max="7" width="10.85546875" style="69" customWidth="1"/>
    <col min="8" max="8" width="11.42578125" style="69" customWidth="1"/>
    <col min="9" max="9" width="17.5703125" style="69" customWidth="1"/>
    <col min="10" max="16384" width="11" style="69"/>
  </cols>
  <sheetData>
    <row r="2" spans="2:10">
      <c r="B2" s="68" t="s">
        <v>223</v>
      </c>
    </row>
    <row r="3" spans="2:10" ht="14" thickBot="1">
      <c r="B3" s="68" t="s">
        <v>195</v>
      </c>
    </row>
    <row r="4" spans="2:10" ht="14" thickBot="1">
      <c r="B4" s="430"/>
      <c r="C4" s="68" t="s">
        <v>254</v>
      </c>
      <c r="D4" s="68"/>
      <c r="E4" s="68"/>
      <c r="F4" s="68"/>
      <c r="G4" s="68"/>
      <c r="H4" s="68"/>
      <c r="I4" s="68"/>
      <c r="J4" s="68"/>
    </row>
    <row r="5" spans="2:10" ht="14" thickBot="1">
      <c r="B5" s="68"/>
    </row>
    <row r="6" spans="2:10" ht="14" thickBot="1">
      <c r="B6" s="479" t="s">
        <v>32</v>
      </c>
      <c r="C6" s="480"/>
      <c r="D6" s="480"/>
      <c r="E6" s="480"/>
      <c r="F6" s="480"/>
      <c r="G6" s="486"/>
      <c r="H6" s="487"/>
    </row>
    <row r="7" spans="2:10">
      <c r="B7" s="306"/>
      <c r="C7" s="306" t="s">
        <v>43</v>
      </c>
      <c r="D7" s="308" t="s">
        <v>92</v>
      </c>
      <c r="E7" s="307" t="s">
        <v>224</v>
      </c>
      <c r="F7" s="306" t="s">
        <v>43</v>
      </c>
      <c r="G7" s="306" t="s">
        <v>146</v>
      </c>
      <c r="H7" s="307" t="s">
        <v>228</v>
      </c>
      <c r="I7" s="136"/>
    </row>
    <row r="8" spans="2:10">
      <c r="B8" s="309"/>
      <c r="C8" s="309" t="s">
        <v>167</v>
      </c>
      <c r="D8" s="311" t="s">
        <v>143</v>
      </c>
      <c r="E8" s="310" t="s">
        <v>226</v>
      </c>
      <c r="F8" s="309" t="s">
        <v>144</v>
      </c>
      <c r="G8" s="309" t="s">
        <v>227</v>
      </c>
      <c r="H8" s="310" t="s">
        <v>227</v>
      </c>
      <c r="I8" s="136"/>
    </row>
    <row r="9" spans="2:10" ht="14" thickBot="1">
      <c r="B9" s="309"/>
      <c r="C9" s="312" t="s">
        <v>168</v>
      </c>
      <c r="D9" s="314" t="s">
        <v>168</v>
      </c>
      <c r="E9" s="313" t="s">
        <v>168</v>
      </c>
      <c r="F9" s="309"/>
      <c r="G9" s="312" t="s">
        <v>170</v>
      </c>
      <c r="H9" s="313" t="s">
        <v>170</v>
      </c>
      <c r="I9" s="136"/>
    </row>
    <row r="10" spans="2:10">
      <c r="B10" s="304">
        <v>2000</v>
      </c>
      <c r="C10" s="332">
        <v>0.28499999999999998</v>
      </c>
      <c r="D10" s="333">
        <v>8.1722999999999999</v>
      </c>
      <c r="E10" s="456">
        <v>8.0161899999999999</v>
      </c>
      <c r="F10" s="334">
        <v>0.71</v>
      </c>
      <c r="G10" s="335">
        <f t="shared" ref="G10:G18" si="0">(D10-C10+C10/4)*F10*8766/10^3</f>
        <v>49.532901002999999</v>
      </c>
      <c r="H10" s="463">
        <f>(E10)*F10*8766/10^3</f>
        <v>49.891644293399992</v>
      </c>
      <c r="I10" s="136"/>
    </row>
    <row r="11" spans="2:10">
      <c r="B11" s="79">
        <v>2001</v>
      </c>
      <c r="C11" s="315">
        <f t="shared" ref="C11:C18" si="1">D11-D10</f>
        <v>6.109999999999971E-2</v>
      </c>
      <c r="D11" s="75">
        <f>D10+(D$13-D$10)/3</f>
        <v>8.2333999999999996</v>
      </c>
      <c r="E11" s="456">
        <v>8.1664399999999997</v>
      </c>
      <c r="F11" s="315">
        <f t="shared" ref="F11:F19" si="2">F12-(0.06/10)</f>
        <v>0.71599999999999997</v>
      </c>
      <c r="G11" s="219">
        <f t="shared" si="0"/>
        <v>51.388954234199993</v>
      </c>
      <c r="H11" s="453">
        <f>(E10+(E11-E10)/4)/1000*8766*F11</f>
        <v>50.549023201139995</v>
      </c>
      <c r="I11" s="136"/>
    </row>
    <row r="12" spans="2:10">
      <c r="B12" s="79">
        <v>2002</v>
      </c>
      <c r="C12" s="315">
        <f t="shared" si="1"/>
        <v>6.109999999999971E-2</v>
      </c>
      <c r="D12" s="75">
        <f>D11+(D$13-D$10)/3</f>
        <v>8.2944999999999993</v>
      </c>
      <c r="E12" s="456">
        <v>8.4034399999999998</v>
      </c>
      <c r="F12" s="336">
        <f t="shared" si="2"/>
        <v>0.72199999999999998</v>
      </c>
      <c r="G12" s="219">
        <f t="shared" si="0"/>
        <v>52.20629300609999</v>
      </c>
      <c r="H12" s="453">
        <f t="shared" ref="H12:H23" si="3">(E11+(E12-E11)/4)/1000*8766*F12</f>
        <v>52.060819745879996</v>
      </c>
      <c r="I12" s="136"/>
    </row>
    <row r="13" spans="2:10">
      <c r="B13" s="79">
        <v>2003</v>
      </c>
      <c r="C13" s="315">
        <f t="shared" si="1"/>
        <v>6.1100000000001486E-2</v>
      </c>
      <c r="D13" s="333">
        <v>8.3556000000000008</v>
      </c>
      <c r="E13" s="456">
        <v>8.5509400000000007</v>
      </c>
      <c r="F13" s="315">
        <f t="shared" si="2"/>
        <v>0.72799999999999998</v>
      </c>
      <c r="G13" s="219">
        <f t="shared" si="0"/>
        <v>53.030059009199995</v>
      </c>
      <c r="H13" s="453">
        <f t="shared" si="3"/>
        <v>53.863119339120004</v>
      </c>
      <c r="I13" s="136"/>
    </row>
    <row r="14" spans="2:10">
      <c r="B14" s="79">
        <v>2004</v>
      </c>
      <c r="C14" s="315">
        <f t="shared" si="1"/>
        <v>0.52389999999999937</v>
      </c>
      <c r="D14" s="333">
        <v>8.8795000000000002</v>
      </c>
      <c r="E14" s="456">
        <v>8.5868400000000005</v>
      </c>
      <c r="F14" s="315">
        <f t="shared" si="2"/>
        <v>0.73399999999999999</v>
      </c>
      <c r="G14" s="219">
        <f t="shared" si="0"/>
        <v>54.604694274299995</v>
      </c>
      <c r="H14" s="453">
        <f t="shared" si="3"/>
        <v>55.076581729259999</v>
      </c>
      <c r="I14" s="136"/>
    </row>
    <row r="15" spans="2:10">
      <c r="B15" s="79">
        <v>2005</v>
      </c>
      <c r="C15" s="315">
        <f t="shared" si="1"/>
        <v>0.476799999999999</v>
      </c>
      <c r="D15" s="333">
        <v>9.3562999999999992</v>
      </c>
      <c r="E15" s="456">
        <v>8.7973400000000002</v>
      </c>
      <c r="F15" s="315">
        <f t="shared" si="2"/>
        <v>0.74</v>
      </c>
      <c r="G15" s="219">
        <f t="shared" si="0"/>
        <v>58.373127107999998</v>
      </c>
      <c r="H15" s="453">
        <f t="shared" si="3"/>
        <v>56.042827140600004</v>
      </c>
      <c r="I15" s="136"/>
    </row>
    <row r="16" spans="2:10">
      <c r="B16" s="79">
        <v>2006</v>
      </c>
      <c r="C16" s="315">
        <f t="shared" si="1"/>
        <v>0.31900000000000084</v>
      </c>
      <c r="D16" s="333">
        <v>9.6753</v>
      </c>
      <c r="E16" s="456">
        <v>9.2344100000000005</v>
      </c>
      <c r="F16" s="315">
        <f t="shared" si="2"/>
        <v>0.746</v>
      </c>
      <c r="G16" s="219">
        <f t="shared" si="0"/>
        <v>61.706445067799997</v>
      </c>
      <c r="H16" s="453">
        <f t="shared" si="3"/>
        <v>58.244189723370006</v>
      </c>
      <c r="I16" s="136"/>
    </row>
    <row r="17" spans="2:9">
      <c r="B17" s="79">
        <v>2007</v>
      </c>
      <c r="C17" s="315">
        <f t="shared" si="1"/>
        <v>0.37020000000000053</v>
      </c>
      <c r="D17" s="333">
        <v>10.045500000000001</v>
      </c>
      <c r="E17" s="456">
        <v>9.6003100000000003</v>
      </c>
      <c r="F17" s="315">
        <f t="shared" si="2"/>
        <v>0.752</v>
      </c>
      <c r="G17" s="219">
        <f t="shared" si="0"/>
        <v>64.38997977119999</v>
      </c>
      <c r="H17" s="453">
        <f t="shared" si="3"/>
        <v>61.476532348319992</v>
      </c>
      <c r="I17" s="136"/>
    </row>
    <row r="18" spans="2:9">
      <c r="B18" s="79">
        <v>2008</v>
      </c>
      <c r="C18" s="315">
        <f t="shared" si="1"/>
        <v>0.4242000000000008</v>
      </c>
      <c r="D18" s="333">
        <v>10.469700000000001</v>
      </c>
      <c r="E18" s="456">
        <v>9.9239099999999993</v>
      </c>
      <c r="F18" s="315">
        <f t="shared" si="2"/>
        <v>0.75800000000000001</v>
      </c>
      <c r="G18" s="219">
        <f t="shared" si="0"/>
        <v>67.453273373400009</v>
      </c>
      <c r="H18" s="453">
        <f t="shared" si="3"/>
        <v>64.328039039880011</v>
      </c>
      <c r="I18" s="136"/>
    </row>
    <row r="19" spans="2:9">
      <c r="B19" s="79">
        <v>2009</v>
      </c>
      <c r="C19" s="337">
        <v>0.4</v>
      </c>
      <c r="D19" s="338">
        <v>11</v>
      </c>
      <c r="E19" s="456">
        <v>10.26127</v>
      </c>
      <c r="F19" s="315">
        <f t="shared" si="2"/>
        <v>0.76400000000000001</v>
      </c>
      <c r="G19" s="219">
        <f>D19*F19*8766/10^3</f>
        <v>73.669463999999991</v>
      </c>
      <c r="H19" s="453">
        <f t="shared" si="3"/>
        <v>67.027492097999996</v>
      </c>
      <c r="I19" s="136"/>
    </row>
    <row r="20" spans="2:9" ht="12" customHeight="1">
      <c r="B20" s="197">
        <v>2010</v>
      </c>
      <c r="C20" s="339">
        <v>0.2</v>
      </c>
      <c r="D20" s="340">
        <v>11</v>
      </c>
      <c r="E20" s="456">
        <v>10.568770000000001</v>
      </c>
      <c r="F20" s="341">
        <v>0.77</v>
      </c>
      <c r="G20" s="219">
        <f>D20*F20*8766/10^3</f>
        <v>74.248020000000011</v>
      </c>
      <c r="H20" s="453">
        <f t="shared" si="3"/>
        <v>69.780617883899993</v>
      </c>
      <c r="I20" s="136"/>
    </row>
    <row r="21" spans="2:9" ht="12" customHeight="1">
      <c r="B21" s="197">
        <v>2011</v>
      </c>
      <c r="C21" s="339">
        <v>0.1</v>
      </c>
      <c r="D21" s="340">
        <v>11.2</v>
      </c>
      <c r="E21" s="456">
        <v>10.750770000000001</v>
      </c>
      <c r="F21" s="342">
        <f>F20+0.006</f>
        <v>0.77600000000000002</v>
      </c>
      <c r="G21" s="212">
        <f>D21*F21*8766/10^3</f>
        <v>76.187059200000007</v>
      </c>
      <c r="H21" s="453">
        <f t="shared" si="3"/>
        <v>72.202680076320007</v>
      </c>
      <c r="I21" s="136"/>
    </row>
    <row r="22" spans="2:9" ht="12" customHeight="1">
      <c r="B22" s="197">
        <v>2012</v>
      </c>
      <c r="C22" s="339">
        <v>0.3</v>
      </c>
      <c r="D22" s="340">
        <v>11.7</v>
      </c>
      <c r="E22" s="456">
        <v>11.395899999999999</v>
      </c>
      <c r="F22" s="315">
        <f>F21+0.006</f>
        <v>0.78200000000000003</v>
      </c>
      <c r="G22" s="212">
        <f>D22*F22*8766/10^3</f>
        <v>80.203640399999998</v>
      </c>
      <c r="H22" s="453">
        <f t="shared" si="3"/>
        <v>74.802250832130014</v>
      </c>
      <c r="I22" s="71"/>
    </row>
    <row r="23" spans="2:9" ht="14" thickBot="1">
      <c r="B23" s="245">
        <v>2013</v>
      </c>
      <c r="C23" s="316"/>
      <c r="D23" s="343">
        <v>12</v>
      </c>
      <c r="E23" s="457">
        <v>12.4564</v>
      </c>
      <c r="F23" s="316">
        <f>F22+0.006</f>
        <v>0.78800000000000003</v>
      </c>
      <c r="G23" s="226">
        <f>D23*F23*8766/10^3</f>
        <v>82.891295999999997</v>
      </c>
      <c r="H23" s="454">
        <f t="shared" si="3"/>
        <v>80.549789578199992</v>
      </c>
      <c r="I23" s="71"/>
    </row>
    <row r="24" spans="2:9">
      <c r="B24" s="136"/>
      <c r="C24" s="75"/>
      <c r="D24" s="75"/>
      <c r="E24" s="75"/>
      <c r="F24" s="344"/>
      <c r="G24" s="75"/>
      <c r="H24" s="71"/>
    </row>
    <row r="25" spans="2:9">
      <c r="B25" s="68" t="s">
        <v>54</v>
      </c>
      <c r="H25" s="345"/>
    </row>
    <row r="26" spans="2:9" ht="13" customHeight="1" thickBot="1">
      <c r="H26" s="346"/>
    </row>
    <row r="27" spans="2:9" ht="14" thickBot="1">
      <c r="B27" s="186" t="s">
        <v>26</v>
      </c>
      <c r="C27" s="318"/>
      <c r="D27" s="318"/>
      <c r="E27" s="318"/>
      <c r="F27" s="318"/>
      <c r="G27" s="318"/>
      <c r="H27" s="318"/>
    </row>
    <row r="28" spans="2:9">
      <c r="B28" s="319" t="s">
        <v>43</v>
      </c>
      <c r="C28" s="304" t="s">
        <v>77</v>
      </c>
      <c r="D28" s="70"/>
      <c r="E28" s="70"/>
      <c r="F28" s="70"/>
      <c r="G28" s="70"/>
      <c r="H28" s="234"/>
    </row>
    <row r="29" spans="2:9">
      <c r="B29" s="74"/>
      <c r="C29" s="79" t="s">
        <v>50</v>
      </c>
      <c r="D29" s="72"/>
      <c r="E29" s="72"/>
      <c r="F29" s="72"/>
      <c r="G29" s="72"/>
      <c r="H29" s="73"/>
    </row>
    <row r="30" spans="2:9">
      <c r="B30" s="74"/>
      <c r="C30" s="79" t="s">
        <v>74</v>
      </c>
      <c r="D30" s="72"/>
      <c r="E30" s="72"/>
      <c r="F30" s="72"/>
      <c r="G30" s="72"/>
      <c r="H30" s="73"/>
    </row>
    <row r="31" spans="2:9">
      <c r="B31" s="74"/>
      <c r="C31" s="79" t="s">
        <v>88</v>
      </c>
      <c r="D31" s="72"/>
      <c r="E31" s="72"/>
      <c r="F31" s="72"/>
      <c r="G31" s="72"/>
      <c r="H31" s="73"/>
    </row>
    <row r="32" spans="2:9">
      <c r="B32" s="74"/>
      <c r="C32" s="79"/>
      <c r="D32" s="72"/>
      <c r="E32" s="72"/>
      <c r="F32" s="72"/>
      <c r="G32" s="72"/>
      <c r="H32" s="73"/>
    </row>
    <row r="33" spans="2:9">
      <c r="B33" s="347" t="s">
        <v>43</v>
      </c>
      <c r="C33" s="79" t="s">
        <v>53</v>
      </c>
      <c r="D33" s="72"/>
      <c r="E33" s="72"/>
      <c r="F33" s="72"/>
      <c r="G33" s="72"/>
      <c r="H33" s="73"/>
      <c r="I33" s="348"/>
    </row>
    <row r="34" spans="2:9">
      <c r="B34" s="347"/>
      <c r="C34" s="79" t="s">
        <v>37</v>
      </c>
      <c r="D34" s="72"/>
      <c r="E34" s="72"/>
      <c r="F34" s="72"/>
      <c r="G34" s="72"/>
      <c r="H34" s="73"/>
    </row>
    <row r="35" spans="2:9">
      <c r="B35" s="347"/>
      <c r="C35" s="283" t="s">
        <v>67</v>
      </c>
      <c r="D35" s="72"/>
      <c r="E35" s="72"/>
      <c r="F35" s="72"/>
      <c r="G35" s="72"/>
      <c r="H35" s="73"/>
    </row>
    <row r="36" spans="2:9">
      <c r="B36" s="347"/>
      <c r="C36" s="283" t="s">
        <v>109</v>
      </c>
      <c r="D36" s="72"/>
      <c r="E36" s="72"/>
      <c r="F36" s="72"/>
      <c r="G36" s="72"/>
      <c r="H36" s="73"/>
    </row>
    <row r="37" spans="2:9">
      <c r="B37" s="200"/>
      <c r="C37" s="79"/>
      <c r="D37" s="72"/>
      <c r="E37" s="72"/>
      <c r="F37" s="72"/>
      <c r="G37" s="72"/>
      <c r="H37" s="73"/>
    </row>
    <row r="38" spans="2:9">
      <c r="B38" s="349" t="s">
        <v>43</v>
      </c>
      <c r="C38" s="197" t="s">
        <v>251</v>
      </c>
      <c r="D38" s="136"/>
      <c r="E38" s="136"/>
      <c r="F38" s="136"/>
      <c r="G38" s="136"/>
      <c r="H38" s="248"/>
    </row>
    <row r="39" spans="2:9">
      <c r="B39" s="182"/>
      <c r="C39" s="197" t="s">
        <v>17</v>
      </c>
      <c r="D39" s="136"/>
      <c r="E39" s="136"/>
      <c r="F39" s="136"/>
      <c r="G39" s="136"/>
      <c r="H39" s="248"/>
    </row>
    <row r="40" spans="2:9">
      <c r="B40" s="350"/>
      <c r="C40" s="79"/>
      <c r="D40" s="72"/>
      <c r="E40" s="72"/>
      <c r="F40" s="72"/>
      <c r="G40" s="72"/>
      <c r="H40" s="73"/>
    </row>
    <row r="41" spans="2:9">
      <c r="B41" s="331" t="s">
        <v>43</v>
      </c>
      <c r="C41" s="79" t="s">
        <v>219</v>
      </c>
      <c r="D41" s="72"/>
      <c r="E41" s="72"/>
      <c r="F41" s="72"/>
      <c r="G41" s="72"/>
      <c r="H41" s="73"/>
    </row>
    <row r="42" spans="2:9">
      <c r="B42" s="351"/>
      <c r="C42" s="79"/>
      <c r="D42" s="72"/>
      <c r="E42" s="72"/>
      <c r="F42" s="72"/>
      <c r="G42" s="72"/>
      <c r="H42" s="73"/>
    </row>
    <row r="43" spans="2:9">
      <c r="B43" s="199" t="s">
        <v>30</v>
      </c>
      <c r="C43" s="79" t="s">
        <v>106</v>
      </c>
      <c r="D43" s="72"/>
      <c r="E43" s="72"/>
      <c r="F43" s="72"/>
      <c r="G43" s="72"/>
      <c r="H43" s="73"/>
    </row>
    <row r="44" spans="2:9">
      <c r="B44" s="196"/>
      <c r="C44" s="79" t="s">
        <v>58</v>
      </c>
      <c r="D44" s="72"/>
      <c r="E44" s="72"/>
      <c r="F44" s="72"/>
      <c r="G44" s="72"/>
      <c r="H44" s="73"/>
    </row>
    <row r="45" spans="2:9">
      <c r="B45" s="196"/>
      <c r="C45" s="197" t="s">
        <v>69</v>
      </c>
      <c r="D45" s="72"/>
      <c r="E45" s="72"/>
      <c r="F45" s="72"/>
      <c r="G45" s="72"/>
      <c r="H45" s="73"/>
    </row>
    <row r="46" spans="2:9" ht="14" thickBot="1">
      <c r="B46" s="202"/>
      <c r="C46" s="83"/>
      <c r="D46" s="100"/>
      <c r="E46" s="100"/>
      <c r="F46" s="100"/>
      <c r="G46" s="100"/>
      <c r="H46" s="84"/>
    </row>
  </sheetData>
  <mergeCells count="1">
    <mergeCell ref="B6:H6"/>
  </mergeCells>
  <hyperlinks>
    <hyperlink ref="C35" r:id="rId1"/>
  </hyperlink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2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Charts</vt:lpstr>
      </vt:variant>
      <vt:variant>
        <vt:i4>6</vt:i4>
      </vt:variant>
    </vt:vector>
  </HeadingPairs>
  <TitlesOfParts>
    <vt:vector size="18" baseType="lpstr">
      <vt:lpstr>Title Page</vt:lpstr>
      <vt:lpstr>Capacity (TW)</vt:lpstr>
      <vt:lpstr>Generation (TWh)</vt:lpstr>
      <vt:lpstr>Nuclear</vt:lpstr>
      <vt:lpstr>Nuclear Uprates</vt:lpstr>
      <vt:lpstr>Wind</vt:lpstr>
      <vt:lpstr>PV</vt:lpstr>
      <vt:lpstr>Hydro</vt:lpstr>
      <vt:lpstr>Geothermal</vt:lpstr>
      <vt:lpstr>Biomass</vt:lpstr>
      <vt:lpstr>Cogeneration (CHP)</vt:lpstr>
      <vt:lpstr>DGTW 2010-2013</vt:lpstr>
      <vt:lpstr>Graph - Electrical Output Black</vt:lpstr>
      <vt:lpstr>Graph - Electrical Output White</vt:lpstr>
      <vt:lpstr>Graph - Total Capacity Black</vt:lpstr>
      <vt:lpstr>Graph - Total Capacity</vt:lpstr>
      <vt:lpstr>Graph - World Electrical Output</vt:lpstr>
      <vt:lpstr>X-curve</vt:lpstr>
    </vt:vector>
  </TitlesOfParts>
  <Company>Rocky Mountain Institute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Comparative growth of nuclear power, decentralized cogeneration, and renewable power sources</dc:title>
  <dc:creator>Kenneth Davies</dc:creator>
  <cp:keywords/>
  <cp:lastModifiedBy>Titiaan Palazzi</cp:lastModifiedBy>
  <cp:lastPrinted>2008-04-01T20:30:57Z</cp:lastPrinted>
  <dcterms:created xsi:type="dcterms:W3CDTF">2005-05-24T22:11:47Z</dcterms:created>
  <dcterms:modified xsi:type="dcterms:W3CDTF">2014-07-22T18:00:21Z</dcterms:modified>
</cp:coreProperties>
</file>